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4" documentId="13_ncr:1_{76FD28D7-EC8E-459D-8F4D-F70489597207}" xr6:coauthVersionLast="47" xr6:coauthVersionMax="47" xr10:uidLastSave="{2C927196-CD4E-4DDC-9430-AA965494E7F3}"/>
  <bookViews>
    <workbookView xWindow="-108" yWindow="-108" windowWidth="23256" windowHeight="12576" xr2:uid="{0593274E-D2E1-4DE2-8579-11AE74CF7697}"/>
  </bookViews>
  <sheets>
    <sheet name="Contents" sheetId="8" r:id="rId1"/>
    <sheet name="Accounts" sheetId="1" r:id="rId2"/>
    <sheet name="Distribution Account" sheetId="2" r:id="rId3"/>
    <sheet name="Bank Reconciliation" sheetId="7" r:id="rId4"/>
    <sheet name="Schedule A" sheetId="3" r:id="rId5"/>
    <sheet name="Schedule B" sheetId="4" r:id="rId6"/>
    <sheet name="Schedule C" sheetId="5" r:id="rId7"/>
    <sheet name="Schedule D" sheetId="6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I23" i="7"/>
  <c r="E42" i="7"/>
  <c r="E41" i="7"/>
  <c r="E40" i="7"/>
  <c r="E38" i="7"/>
  <c r="C44" i="7"/>
  <c r="D44" i="7"/>
  <c r="D46" i="7" s="1"/>
  <c r="D33" i="7"/>
  <c r="D35" i="7" s="1"/>
  <c r="D29" i="7"/>
  <c r="C25" i="7"/>
  <c r="C24" i="7"/>
  <c r="C23" i="7"/>
  <c r="C14" i="7"/>
  <c r="C13" i="7"/>
  <c r="C11" i="7"/>
  <c r="I19" i="7"/>
  <c r="I12" i="7"/>
  <c r="I21" i="7" s="1"/>
  <c r="C10" i="5"/>
  <c r="D7" i="5"/>
  <c r="C6" i="5"/>
  <c r="C7" i="5" s="1"/>
  <c r="C43" i="4"/>
  <c r="C44" i="4" s="1"/>
  <c r="C45" i="4" s="1"/>
  <c r="C34" i="4"/>
  <c r="C35" i="4" s="1"/>
  <c r="C24" i="4"/>
  <c r="C23" i="4"/>
  <c r="E23" i="4" s="1"/>
  <c r="C16" i="4"/>
  <c r="E15" i="4"/>
  <c r="C15" i="4"/>
  <c r="C17" i="4" s="1"/>
  <c r="E7" i="4"/>
  <c r="C8" i="4" s="1"/>
  <c r="C7" i="4"/>
  <c r="C9" i="4" s="1"/>
  <c r="D18" i="3"/>
  <c r="D19" i="3" s="1"/>
  <c r="D11" i="3"/>
  <c r="G10" i="3" s="1"/>
  <c r="G9" i="3"/>
  <c r="G8" i="3"/>
  <c r="C9" i="5" s="1"/>
  <c r="C11" i="5" s="1"/>
  <c r="G7" i="3"/>
  <c r="E119" i="1"/>
  <c r="H13" i="2"/>
  <c r="H12" i="2"/>
  <c r="H10" i="2"/>
  <c r="H7" i="2"/>
  <c r="G7" i="2"/>
  <c r="G10" i="2"/>
  <c r="G12" i="2"/>
  <c r="G13" i="2"/>
  <c r="F14" i="2"/>
  <c r="H14" i="2" s="1"/>
  <c r="F11" i="2"/>
  <c r="G11" i="2" s="1"/>
  <c r="F9" i="2"/>
  <c r="H9" i="2" s="1"/>
  <c r="D9" i="2"/>
  <c r="D5" i="2"/>
  <c r="C101" i="1"/>
  <c r="C100" i="1"/>
  <c r="C99" i="1"/>
  <c r="C98" i="1"/>
  <c r="C97" i="1"/>
  <c r="C96" i="1"/>
  <c r="C95" i="1"/>
  <c r="C94" i="1"/>
  <c r="C85" i="1"/>
  <c r="C83" i="1"/>
  <c r="C82" i="1"/>
  <c r="C9" i="6" s="1"/>
  <c r="E75" i="1"/>
  <c r="B72" i="1"/>
  <c r="B73" i="1" s="1"/>
  <c r="D8" i="2" s="1"/>
  <c r="C59" i="1"/>
  <c r="C8" i="6" s="1"/>
  <c r="E51" i="1"/>
  <c r="B48" i="1"/>
  <c r="D6" i="2" s="1"/>
  <c r="B47" i="1"/>
  <c r="C39" i="1"/>
  <c r="C32" i="1"/>
  <c r="C7" i="6" s="1"/>
  <c r="E24" i="1"/>
  <c r="C8" i="1"/>
  <c r="C6" i="6" s="1"/>
  <c r="C10" i="6" s="1"/>
  <c r="C15" i="1"/>
  <c r="D48" i="7" l="1"/>
  <c r="E39" i="7"/>
  <c r="E44" i="7" s="1"/>
  <c r="E46" i="7" s="1"/>
  <c r="I24" i="7"/>
  <c r="D10" i="5"/>
  <c r="D91" i="1" s="1"/>
  <c r="C91" i="1" s="1"/>
  <c r="D9" i="5"/>
  <c r="C10" i="4"/>
  <c r="C11" i="4" s="1"/>
  <c r="C25" i="4"/>
  <c r="C18" i="4"/>
  <c r="C19" i="4" s="1"/>
  <c r="D37" i="1" s="1"/>
  <c r="C37" i="1" s="1"/>
  <c r="E34" i="4"/>
  <c r="C36" i="4" s="1"/>
  <c r="C38" i="4" s="1"/>
  <c r="H11" i="2"/>
  <c r="G14" i="2"/>
  <c r="G11" i="3"/>
  <c r="D14" i="3"/>
  <c r="D15" i="3" s="1"/>
  <c r="G9" i="2"/>
  <c r="I7" i="3" l="1"/>
  <c r="H10" i="3"/>
  <c r="I10" i="3"/>
  <c r="H8" i="3"/>
  <c r="H9" i="3"/>
  <c r="C39" i="4"/>
  <c r="C40" i="4" s="1"/>
  <c r="C47" i="4" s="1"/>
  <c r="C26" i="4"/>
  <c r="C27" i="4" s="1"/>
  <c r="D64" i="1" s="1"/>
  <c r="C64" i="1" s="1"/>
  <c r="I9" i="3"/>
  <c r="I8" i="3"/>
  <c r="H7" i="3"/>
  <c r="D38" i="1"/>
  <c r="C38" i="1" s="1"/>
  <c r="D13" i="1"/>
  <c r="C13" i="1" s="1"/>
  <c r="D88" i="1"/>
  <c r="C49" i="4" l="1"/>
  <c r="C12" i="7" s="1"/>
  <c r="D90" i="1"/>
  <c r="C90" i="1" s="1"/>
  <c r="D11" i="1"/>
  <c r="D63" i="1"/>
  <c r="C63" i="1" s="1"/>
  <c r="D12" i="1"/>
  <c r="C12" i="1" s="1"/>
  <c r="D35" i="1"/>
  <c r="D36" i="1"/>
  <c r="C36" i="1" s="1"/>
  <c r="D62" i="1"/>
  <c r="D89" i="1"/>
  <c r="C89" i="1" s="1"/>
  <c r="D102" i="1" l="1"/>
  <c r="D103" i="1" s="1"/>
  <c r="D9" i="6"/>
  <c r="E9" i="6" s="1"/>
  <c r="D16" i="1"/>
  <c r="D6" i="6"/>
  <c r="D40" i="1"/>
  <c r="D7" i="6"/>
  <c r="E7" i="6" s="1"/>
  <c r="D65" i="1"/>
  <c r="D66" i="1" s="1"/>
  <c r="D69" i="1" s="1"/>
  <c r="C20" i="7" s="1"/>
  <c r="D8" i="6"/>
  <c r="E8" i="6" s="1"/>
  <c r="D41" i="1"/>
  <c r="D44" i="1" s="1"/>
  <c r="C19" i="7" s="1"/>
  <c r="D17" i="1"/>
  <c r="D20" i="1" s="1"/>
  <c r="C18" i="7" s="1"/>
  <c r="E8" i="2" l="1"/>
  <c r="H8" i="2" s="1"/>
  <c r="D75" i="1"/>
  <c r="D10" i="6"/>
  <c r="E6" i="6"/>
  <c r="E10" i="6" s="1"/>
  <c r="C15" i="7" s="1"/>
  <c r="D51" i="1"/>
  <c r="E6" i="2"/>
  <c r="D24" i="1"/>
  <c r="E5" i="2"/>
  <c r="B104" i="1"/>
  <c r="D117" i="1"/>
  <c r="I15" i="2" l="1"/>
  <c r="C27" i="7"/>
  <c r="C29" i="7"/>
  <c r="D31" i="7" s="1"/>
  <c r="G8" i="2"/>
  <c r="D119" i="1"/>
  <c r="H5" i="2"/>
  <c r="G5" i="2"/>
  <c r="H6" i="2"/>
  <c r="G6" i="2"/>
  <c r="G15" i="2" l="1"/>
  <c r="I5" i="2" s="1"/>
  <c r="I12" i="2" l="1"/>
  <c r="I13" i="2"/>
  <c r="I10" i="2"/>
  <c r="I7" i="2"/>
  <c r="I11" i="2"/>
  <c r="I14" i="2"/>
  <c r="I9" i="2"/>
  <c r="I17" i="2"/>
  <c r="I18" i="2" s="1"/>
  <c r="I8" i="2"/>
  <c r="I6" i="2"/>
</calcChain>
</file>

<file path=xl/sharedStrings.xml><?xml version="1.0" encoding="utf-8"?>
<sst xmlns="http://schemas.openxmlformats.org/spreadsheetml/2006/main" count="435" uniqueCount="194">
  <si>
    <t>ValleyGrove Farms (Pty) Ltd (In Liquidation)</t>
  </si>
  <si>
    <t>LIQUIDATION AND DISTRIBUTION ACCOUNT, CONTRIBUTION ACCOUNT, BANK RECONCILIATION STATEMENT, AND RELEVANT SCHEDULES</t>
  </si>
  <si>
    <t>CONTENTS (click link to view)</t>
  </si>
  <si>
    <t>Accounts</t>
  </si>
  <si>
    <t>Encumbered Asset Account 1</t>
  </si>
  <si>
    <t>Encumbered Asset Account 2</t>
  </si>
  <si>
    <t>Encumbered Asset Account 3</t>
  </si>
  <si>
    <t>Free Residue Account</t>
  </si>
  <si>
    <t>Distribution Account</t>
  </si>
  <si>
    <t>Bank Reconciliation</t>
  </si>
  <si>
    <t>Schedules:</t>
  </si>
  <si>
    <t>Schedule A -</t>
  </si>
  <si>
    <t>Master's fee calculation</t>
  </si>
  <si>
    <t>Pro rata apportionment of Master's fees and bond of security premium</t>
  </si>
  <si>
    <t>Schedule B -</t>
  </si>
  <si>
    <t>Liquidator's remuneration calculation</t>
  </si>
  <si>
    <t xml:space="preserve">Schedule C - </t>
  </si>
  <si>
    <t>Pro rata apportionment of auctioneer's commission</t>
  </si>
  <si>
    <t xml:space="preserve">Schedule D - </t>
  </si>
  <si>
    <t>VAT Schedule</t>
  </si>
  <si>
    <t>TOTAL THIS PAGE:</t>
  </si>
  <si>
    <t>ENCUMBERED ASSET ACCOUNT NUMBER 1</t>
  </si>
  <si>
    <t>PROCEEDS OF PORTION 8 OF THE FARM "VALLEYGROVE", STELLENBOSCH, WESTERN CAPE, SUBJECT TO A FIRST MORTGAGE BOND IN FAVOUR OF CREDITOR 1, CAPITAL BANK LTD</t>
  </si>
  <si>
    <t>Ϟ</t>
  </si>
  <si>
    <t>Bank recon</t>
  </si>
  <si>
    <t>NARRATION</t>
  </si>
  <si>
    <t>VAT</t>
  </si>
  <si>
    <t>PAYMENTS</t>
  </si>
  <si>
    <t>RECEIPTS</t>
  </si>
  <si>
    <t>Receipts:</t>
  </si>
  <si>
    <t>Proceeds of Portion 8 of the farm ValleyGrove, Stellenbosch, Western Cape, sold by public auction by Hastings Auctions</t>
  </si>
  <si>
    <t>Received</t>
  </si>
  <si>
    <t>Payments:</t>
  </si>
  <si>
    <t>Master's fees, pro rata portion as per Schedule A</t>
  </si>
  <si>
    <t>GuardianSure Bonds, pro rata bond of security premium as per Schedule A</t>
  </si>
  <si>
    <t>50% paid</t>
  </si>
  <si>
    <t>Liquidator's fees as per Schedule B</t>
  </si>
  <si>
    <t>Western Province Municipality for rates &amp; taxes</t>
  </si>
  <si>
    <t>Paid</t>
  </si>
  <si>
    <t>Hastings Auctions</t>
  </si>
  <si>
    <t>SARS, VAT payable as per this account</t>
  </si>
  <si>
    <t>Total payments</t>
  </si>
  <si>
    <t>Balance awarded as follows:</t>
  </si>
  <si>
    <t>Capital Bank Ltd, for first mortgage bond over the property:</t>
  </si>
  <si>
    <t>Capital: R8 946 765.32</t>
  </si>
  <si>
    <t>(Interest calculation is unnecessary as creditor has relied on its security to pay capital claim)</t>
  </si>
  <si>
    <t>TOTALS</t>
  </si>
  <si>
    <t>ENCUMBERED ASSET ACCOUNT NUMBER 2</t>
  </si>
  <si>
    <t>PROCEEDS OF BOTTLING PLANT AND EQUIPMENT, SUBJECT TO A SPECIAL NOTARIAL BOND IN FAVOUR OF CREDITOR NO 2, HARVEST FINANCE LTD</t>
  </si>
  <si>
    <t>Proceeds of bottling plant and equipment, sold by public auction by Hastings Auctions</t>
  </si>
  <si>
    <t>GrapeFlow Bottling Solutions, for repairs made to the bottling plant prior to it being sold by public auction</t>
  </si>
  <si>
    <t>Creditor no 2, Harvest Finance Ltd, for special notarial bond registered over the equipment:</t>
  </si>
  <si>
    <t>Capital: R3 203 046.89</t>
  </si>
  <si>
    <t>Plus interest from 05/09/2022 to 17/03/2023 @ 16.5% pa (194 days): R280 902.82</t>
  </si>
  <si>
    <r>
      <t xml:space="preserve">(Balance of claim is concurrent in terms of </t>
    </r>
    <r>
      <rPr>
        <i/>
        <sz val="11"/>
        <color theme="1"/>
        <rFont val="Calibri"/>
        <family val="2"/>
        <scheme val="minor"/>
      </rPr>
      <t>Singer v The Master)</t>
    </r>
  </si>
  <si>
    <t>ENCUMBERED ASSET ACCOUNT NUMBER 3</t>
  </si>
  <si>
    <t>PROCEEDS OF 2019 SELF-PROPELLED GRAPE HARVESTER, REGISTRATION NUMBER CA9090, SUBJECT TO AN INSTALMENT SALE TRANSACTION IN FAVOUR OF CREDITO NO 4, AGRITECH FINANCE</t>
  </si>
  <si>
    <t>Procceds of 2019 self-propelled Grape Harvester, registration CA9090, sold by private treaty</t>
  </si>
  <si>
    <t>Creditor no 4, AgriTech Finance, in terms of a instalment sale transaction over the asset:</t>
  </si>
  <si>
    <t>Capital: R1 261 052.55</t>
  </si>
  <si>
    <t>Plus interest from 05/09/2022 to 17/03/2023 @ 18.75% pa (194 days): R125 673.39</t>
  </si>
  <si>
    <t>FREE RESIDUE ACCOUNT</t>
  </si>
  <si>
    <t>Proceeds of inventory of bottled wines, sold by public auction by Hastings Auctions</t>
  </si>
  <si>
    <t>Proceeds from sale of miscellaneous movable assets and office equipment, sold by public auction by Hastings Auctions</t>
  </si>
  <si>
    <t>Proceeds of book debts collected by attorneys Sithole &amp; Partners</t>
  </si>
  <si>
    <t>Proceeds of a quantity of Stella Valley Cabernet grapes sold privately to the local Co-op market</t>
  </si>
  <si>
    <t>Wages paid to general labourers who assisted with harvesting grapes sold after liquidation</t>
  </si>
  <si>
    <t>Advertisement expenses:</t>
  </si>
  <si>
    <t>General (second) meeting of creditors</t>
  </si>
  <si>
    <t>Inspection of account</t>
  </si>
  <si>
    <t>Confirmation of account</t>
  </si>
  <si>
    <t>Destruction of books and records</t>
  </si>
  <si>
    <t>Trust Bank, bank charges (including a provision of R150)</t>
  </si>
  <si>
    <t>Postage and petties allowed by the Master</t>
  </si>
  <si>
    <t>Sithole &amp; Partners, professional fee for collecting book debts</t>
  </si>
  <si>
    <t>Horizon Attorneys, taxed bill of costs re liquidation</t>
  </si>
  <si>
    <t>Preferent creditors:</t>
  </si>
  <si>
    <t>Thabo Moeng, creditor no 7, s 98A</t>
  </si>
  <si>
    <t>Arrear salary</t>
  </si>
  <si>
    <t>Leave Pay</t>
  </si>
  <si>
    <t>Sindiwe Mthembu, creditor no 10, s 98A</t>
  </si>
  <si>
    <t>SARS, creditor no 5, s 99</t>
  </si>
  <si>
    <t>Arrear VAT</t>
  </si>
  <si>
    <t>Arrear Income Tax</t>
  </si>
  <si>
    <t>Concurrent creditors:</t>
  </si>
  <si>
    <t>Dividends of 4.5480 cents in the Rand</t>
  </si>
  <si>
    <t>No.</t>
  </si>
  <si>
    <t>Creditor Name</t>
  </si>
  <si>
    <t>Total claim</t>
  </si>
  <si>
    <t>Secured claim</t>
  </si>
  <si>
    <t>Preferent claim</t>
  </si>
  <si>
    <t>Concurrent claim</t>
  </si>
  <si>
    <t>Secured / preferent award</t>
  </si>
  <si>
    <t>Concurrent award</t>
  </si>
  <si>
    <t>Capital Bank Ltd</t>
  </si>
  <si>
    <t>Harvest Finance Ltd</t>
  </si>
  <si>
    <t>Vinetech Supplies Ltd</t>
  </si>
  <si>
    <t>AgriTech Finance</t>
  </si>
  <si>
    <t>SARS</t>
  </si>
  <si>
    <t>Winecraft Essentials Ltd</t>
  </si>
  <si>
    <t>Thabo Moeng</t>
  </si>
  <si>
    <t>David Smith</t>
  </si>
  <si>
    <t>Maria Ndlovu</t>
  </si>
  <si>
    <t>Sindiwe Mthembu</t>
  </si>
  <si>
    <t>CONCURRENT DIVIDEND OF 4.5480 CENTS IN THE RAND</t>
  </si>
  <si>
    <t>BANK RECONCILIATION STATEMENT</t>
  </si>
  <si>
    <t>Balance as per bank statement as at date of drafting the account</t>
  </si>
  <si>
    <t>Payments still to be made:</t>
  </si>
  <si>
    <t>Bond premium (provision for renewal)</t>
  </si>
  <si>
    <t>Master's fee</t>
  </si>
  <si>
    <t>Liquidator's remuneration</t>
  </si>
  <si>
    <t>Proceeds of auction held 21/11/2022</t>
  </si>
  <si>
    <t>Bank charges (provision)</t>
  </si>
  <si>
    <t>1.2.1</t>
  </si>
  <si>
    <t>Bottling equipment</t>
  </si>
  <si>
    <t>Postage and petties</t>
  </si>
  <si>
    <t>1.2.2</t>
  </si>
  <si>
    <t>Inventory</t>
  </si>
  <si>
    <t>SARS, for VAT payable</t>
  </si>
  <si>
    <t>1.2.3</t>
  </si>
  <si>
    <t>Movable assets</t>
  </si>
  <si>
    <t>Awards to creditors still to be made:</t>
  </si>
  <si>
    <t>GrapeFlow Bottling Solutions</t>
  </si>
  <si>
    <t>Encumbered asset account 1</t>
  </si>
  <si>
    <t>Encumbered asset account 2</t>
  </si>
  <si>
    <t>Encumbered asset account 3</t>
  </si>
  <si>
    <t>Free residue:</t>
  </si>
  <si>
    <t>Creditor no 7, Thabo Moeng</t>
  </si>
  <si>
    <t>Creditor no 10, Sindiwe Mthembu</t>
  </si>
  <si>
    <t>Difference</t>
  </si>
  <si>
    <t>Creditor no 5, SARS</t>
  </si>
  <si>
    <t>Concurrent creditors</t>
  </si>
  <si>
    <t>Correction</t>
  </si>
  <si>
    <t>Payments</t>
  </si>
  <si>
    <t>Receipts</t>
  </si>
  <si>
    <t>Amended receipts</t>
  </si>
  <si>
    <t>Master's fee calculation:</t>
  </si>
  <si>
    <t>Gross proceeds</t>
  </si>
  <si>
    <t>Schedule A</t>
  </si>
  <si>
    <t>EA1</t>
  </si>
  <si>
    <t>Proceeds of Portion 8 of the farm "ValleyGrove", Stellenbosch</t>
  </si>
  <si>
    <t>PRO RATA APPORTIONMENT OF MASTER'S FEES AND BOND OF SECURITY PREMIUM</t>
  </si>
  <si>
    <t>EA2</t>
  </si>
  <si>
    <t>Proceeds of bottling plant and equipment</t>
  </si>
  <si>
    <t>Proceeds of inventory of bottled wines</t>
  </si>
  <si>
    <t>ACCOUNT</t>
  </si>
  <si>
    <t>GROSS PROCEEDS</t>
  </si>
  <si>
    <t>MASTER'S FEES</t>
  </si>
  <si>
    <t>BOND PREMIUM</t>
  </si>
  <si>
    <t>Proceeds of miscellaneous movable assets and office equipment</t>
  </si>
  <si>
    <t>EA3</t>
  </si>
  <si>
    <t>Proceeds from sale of 2019 self-propelled Grape Harvester</t>
  </si>
  <si>
    <t>Proceeds of a quantity of Stella Valley Cabernet grapes harvested after liquidation</t>
  </si>
  <si>
    <t>Free residue account</t>
  </si>
  <si>
    <t>Estate is more than R150 000: R1 000 payable on the first R150 000 and R275 for each completed R5 000 thereafter, with a maximum fee of R275 000.</t>
  </si>
  <si>
    <t>Master's fee capped at R275 000</t>
  </si>
  <si>
    <t>Schedule B</t>
  </si>
  <si>
    <t>CALCULATION OF LIQUIDATOR'S REMUNERATION IN ACCORDANCE WITH THE SPENDIFF DECISION</t>
  </si>
  <si>
    <t>ENCUMBERED ASSET ACCOUNT 1</t>
  </si>
  <si>
    <t>Fixed property - ValleyGrove Farm</t>
  </si>
  <si>
    <t>VAT portion</t>
  </si>
  <si>
    <t>Fee @ 3% on R9 100 000.00</t>
  </si>
  <si>
    <t>Less: R1 186 956.52 x 15% x 3%</t>
  </si>
  <si>
    <t>Total fee fixed property</t>
  </si>
  <si>
    <t>Plus VAT @ 15% on R267 658.70</t>
  </si>
  <si>
    <t>Total fee (VAT inclusive)</t>
  </si>
  <si>
    <t>ENCUMBERED ASSET ACCOUNT 2</t>
  </si>
  <si>
    <t>Bottling plant and equipment</t>
  </si>
  <si>
    <t>Fee @ 10% on R3 500 000.00</t>
  </si>
  <si>
    <t>Less: R456 521.74 x 15% x 10%</t>
  </si>
  <si>
    <t>Total fee</t>
  </si>
  <si>
    <t>Plus VAT @ 15% on R343 152.17</t>
  </si>
  <si>
    <t>Total fee (VAT Inclusive)</t>
  </si>
  <si>
    <t>ENCUMBERED ASSET ACCOUNT 3</t>
  </si>
  <si>
    <t>2019 self-propelled Grape Harvester</t>
  </si>
  <si>
    <t>Fee @ 10% on R1 150 000.00</t>
  </si>
  <si>
    <t>Less: R15 000 x 15% x 10%</t>
  </si>
  <si>
    <t>Plus VAT @ 15% on R1 147 750.00</t>
  </si>
  <si>
    <t>Movable assets with VAT</t>
  </si>
  <si>
    <t>Fee @ 10% on R395 470.86</t>
  </si>
  <si>
    <t>Less: R51 583.16 x 15% x 10%</t>
  </si>
  <si>
    <t>Plus VAT @ 15% on R38 773.34</t>
  </si>
  <si>
    <t>Fee @ 10% on R88 405.08</t>
  </si>
  <si>
    <t>Plus 15% VAT</t>
  </si>
  <si>
    <t>Total fee - Free Residue (VAT Inclusive)</t>
  </si>
  <si>
    <t>Total liquidator's remuneration (VAT inclusive)</t>
  </si>
  <si>
    <t>Schedule C</t>
  </si>
  <si>
    <t>PRO RATA APPORTIONMENT OF THE AUCTIONEER'S COMMISSION</t>
  </si>
  <si>
    <t>AUCTIONEER'S COMMISSION</t>
  </si>
  <si>
    <t>Schedule D</t>
  </si>
  <si>
    <t>VAT SCHEDULE</t>
  </si>
  <si>
    <t>OUTPUT VAT</t>
  </si>
  <si>
    <t>INPUT VAT</t>
  </si>
  <si>
    <t>VAT PAYABLE / (REFUNDABLE)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</si>
</sst>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00_-;\-* #,##0.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64" fontId="0" fillId="0" borderId="0" xfId="1" applyFont="1"/>
    <xf numFmtId="164" fontId="0" fillId="0" borderId="1" xfId="0" applyNumberFormat="1" applyBorder="1"/>
    <xf numFmtId="164" fontId="0" fillId="0" borderId="1" xfId="1" applyFont="1" applyBorder="1"/>
    <xf numFmtId="0" fontId="3" fillId="0" borderId="0" xfId="0" applyFont="1" applyAlignment="1">
      <alignment wrapText="1"/>
    </xf>
    <xf numFmtId="164" fontId="2" fillId="0" borderId="0" xfId="1" applyFont="1"/>
    <xf numFmtId="0" fontId="2" fillId="0" borderId="0" xfId="0" applyFont="1"/>
    <xf numFmtId="0" fontId="4" fillId="0" borderId="0" xfId="0" applyFont="1"/>
    <xf numFmtId="164" fontId="0" fillId="0" borderId="2" xfId="0" applyNumberFormat="1" applyBorder="1"/>
    <xf numFmtId="164" fontId="0" fillId="0" borderId="2" xfId="1" applyFont="1" applyBorder="1"/>
    <xf numFmtId="0" fontId="5" fillId="0" borderId="0" xfId="0" applyFont="1"/>
    <xf numFmtId="164" fontId="2" fillId="0" borderId="2" xfId="1" applyFont="1" applyBorder="1"/>
    <xf numFmtId="164" fontId="1" fillId="0" borderId="1" xfId="1" applyFont="1" applyBorder="1"/>
    <xf numFmtId="164" fontId="3" fillId="0" borderId="0" xfId="1" applyFont="1"/>
    <xf numFmtId="164" fontId="2" fillId="0" borderId="1" xfId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Border="1"/>
    <xf numFmtId="0" fontId="0" fillId="0" borderId="1" xfId="0" applyBorder="1"/>
    <xf numFmtId="165" fontId="0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7" fillId="0" borderId="0" xfId="1" applyFont="1"/>
    <xf numFmtId="164" fontId="2" fillId="0" borderId="0" xfId="1" applyFont="1" applyFill="1"/>
    <xf numFmtId="0" fontId="4" fillId="0" borderId="0" xfId="0" applyFont="1" applyAlignment="1">
      <alignment horizontal="center"/>
    </xf>
    <xf numFmtId="164" fontId="4" fillId="0" borderId="0" xfId="1" applyFont="1" applyFill="1" applyAlignment="1">
      <alignment horizontal="center"/>
    </xf>
    <xf numFmtId="164" fontId="0" fillId="0" borderId="0" xfId="1" applyFont="1" applyFill="1"/>
    <xf numFmtId="0" fontId="6" fillId="0" borderId="0" xfId="0" applyFont="1"/>
    <xf numFmtId="0" fontId="0" fillId="0" borderId="0" xfId="0" applyAlignment="1">
      <alignment wrapText="1"/>
    </xf>
    <xf numFmtId="164" fontId="0" fillId="0" borderId="1" xfId="1" applyFont="1" applyFill="1" applyBorder="1"/>
    <xf numFmtId="0" fontId="2" fillId="0" borderId="0" xfId="0" applyFont="1" applyAlignment="1">
      <alignment horizontal="right" wrapText="1"/>
    </xf>
    <xf numFmtId="164" fontId="2" fillId="0" borderId="1" xfId="1" applyFont="1" applyFill="1" applyBorder="1"/>
    <xf numFmtId="164" fontId="4" fillId="0" borderId="0" xfId="1" applyFont="1" applyFill="1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8" fillId="0" borderId="0" xfId="2"/>
    <xf numFmtId="49" fontId="9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EC97-1D70-4B0A-B308-8E5972970B3B}">
  <dimension ref="B2:D25"/>
  <sheetViews>
    <sheetView tabSelected="1" zoomScaleNormal="100" workbookViewId="0">
      <selection activeCell="D15" sqref="D15"/>
    </sheetView>
  </sheetViews>
  <sheetFormatPr defaultColWidth="8.7109375" defaultRowHeight="14.45"/>
  <cols>
    <col min="1" max="1" width="6.28515625" customWidth="1"/>
    <col min="2" max="2" width="117.42578125" bestFit="1" customWidth="1"/>
  </cols>
  <sheetData>
    <row r="2" spans="2:4">
      <c r="B2" s="7" t="s">
        <v>0</v>
      </c>
      <c r="D2" s="40">
        <v>73</v>
      </c>
    </row>
    <row r="3" spans="2:4">
      <c r="B3" s="7" t="s">
        <v>1</v>
      </c>
    </row>
    <row r="4" spans="2:4">
      <c r="B4" s="7"/>
    </row>
    <row r="5" spans="2:4">
      <c r="B5" s="7" t="s">
        <v>2</v>
      </c>
    </row>
    <row r="7" spans="2:4">
      <c r="B7" s="7" t="s">
        <v>3</v>
      </c>
    </row>
    <row r="8" spans="2:4">
      <c r="B8" s="38" t="s">
        <v>4</v>
      </c>
    </row>
    <row r="9" spans="2:4">
      <c r="B9" s="38" t="s">
        <v>5</v>
      </c>
    </row>
    <row r="10" spans="2:4">
      <c r="B10" s="38" t="s">
        <v>6</v>
      </c>
    </row>
    <row r="11" spans="2:4">
      <c r="B11" s="38" t="s">
        <v>7</v>
      </c>
    </row>
    <row r="12" spans="2:4">
      <c r="B12" s="38" t="s">
        <v>8</v>
      </c>
    </row>
    <row r="14" spans="2:4">
      <c r="B14" s="38" t="s">
        <v>9</v>
      </c>
    </row>
    <row r="16" spans="2:4">
      <c r="B16" s="7" t="s">
        <v>10</v>
      </c>
    </row>
    <row r="17" spans="2:2">
      <c r="B17" t="s">
        <v>11</v>
      </c>
    </row>
    <row r="18" spans="2:2">
      <c r="B18" s="38" t="s">
        <v>12</v>
      </c>
    </row>
    <row r="19" spans="2:2">
      <c r="B19" s="38" t="s">
        <v>13</v>
      </c>
    </row>
    <row r="20" spans="2:2">
      <c r="B20" t="s">
        <v>14</v>
      </c>
    </row>
    <row r="21" spans="2:2">
      <c r="B21" s="38" t="s">
        <v>15</v>
      </c>
    </row>
    <row r="22" spans="2:2">
      <c r="B22" t="s">
        <v>16</v>
      </c>
    </row>
    <row r="23" spans="2:2">
      <c r="B23" s="38" t="s">
        <v>17</v>
      </c>
    </row>
    <row r="24" spans="2:2">
      <c r="B24" t="s">
        <v>18</v>
      </c>
    </row>
    <row r="25" spans="2:2">
      <c r="B25" s="38" t="s">
        <v>19</v>
      </c>
    </row>
  </sheetData>
  <hyperlinks>
    <hyperlink ref="B8" location="Accounts!B2" display="Encumbered Asset Account 1" xr:uid="{FA7136B1-A825-4117-9EAB-C26C4D1DC219}"/>
    <hyperlink ref="B9" location="Accounts!B27" display="Encumbered Asset Account 2" xr:uid="{FAD3B323-9BEE-4096-A765-422C69986747}"/>
    <hyperlink ref="B10" location="Accounts!B54" display="Encumbered Asset Account 3" xr:uid="{63E75135-8D22-4B4E-965E-2A1BF88B9631}"/>
    <hyperlink ref="B11" location="Accounts!B78" display="Free Residue Account" xr:uid="{EE792FCC-D937-4910-94A4-C9EFFD5FD584}"/>
    <hyperlink ref="B12" location="'Distribution Account'!B2" display="Distribution Account" xr:uid="{35937547-6843-46BC-8A38-EC625F5E21CD}"/>
    <hyperlink ref="B18" location="'Schedule A'!C2" display="Master's fee calculation" xr:uid="{F81E46A0-B265-40F0-B1CA-E0910FFD6133}"/>
    <hyperlink ref="B19" location="'Schedule A'!G3" display="Pro rata apportionment of Master's fees and bond of security premium" xr:uid="{5F74B4F2-4AAF-48A7-AF40-1B93C26F6ED2}"/>
    <hyperlink ref="B21" location="'Schedule B'!B2" display="Liquidator's remuneration calculation" xr:uid="{DE998F4C-2D34-41D6-8631-DC0A5B8A104E}"/>
    <hyperlink ref="B23" location="'Schedule C'!B2" display="Pro rata apportionment of auctioneer's commission" xr:uid="{0065FCF8-C247-46B0-85FF-D93910A10F31}"/>
    <hyperlink ref="B25" location="'Schedule D'!B2" display="VAT Schedule" xr:uid="{27E22498-711B-45DB-BB90-6B1004974758}"/>
    <hyperlink ref="B14" location="'Bank Reconciliation'!B2" display="Bank Reconciliation" xr:uid="{694EB983-2620-406D-A99D-20D1EFCBDB1D}"/>
  </hyperlinks>
  <pageMargins left="0.7" right="0.7" top="0.75" bottom="0.75" header="0.3" footer="0.3"/>
  <pageSetup paperSize="9" orientation="portrait" horizontalDpi="4294967293" verticalDpi="0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F460-22F0-4D66-B8FC-278C3017F4B2}">
  <dimension ref="B1:J131"/>
  <sheetViews>
    <sheetView topLeftCell="A69" zoomScaleNormal="100" workbookViewId="0">
      <selection activeCell="C125" sqref="C125"/>
    </sheetView>
  </sheetViews>
  <sheetFormatPr defaultColWidth="8.7109375" defaultRowHeight="14.45"/>
  <cols>
    <col min="2" max="2" width="44.42578125" customWidth="1"/>
    <col min="3" max="3" width="12.7109375" customWidth="1"/>
    <col min="4" max="4" width="12.85546875" customWidth="1"/>
    <col min="5" max="5" width="12.7109375" customWidth="1"/>
    <col min="6" max="6" width="10.28515625" bestFit="1" customWidth="1"/>
    <col min="8" max="8" width="25.140625" style="36" hidden="1" customWidth="1"/>
    <col min="9" max="9" width="15.7109375" bestFit="1" customWidth="1"/>
    <col min="10" max="10" width="25.42578125" bestFit="1" customWidth="1"/>
    <col min="11" max="11" width="26.140625" bestFit="1" customWidth="1"/>
  </cols>
  <sheetData>
    <row r="1" spans="2:10">
      <c r="G1" s="40" t="s">
        <v>20</v>
      </c>
      <c r="J1" s="40">
        <f>J3+J28+J55+J78</f>
        <v>49</v>
      </c>
    </row>
    <row r="2" spans="2:10">
      <c r="B2" s="42" t="s">
        <v>21</v>
      </c>
      <c r="C2" s="42"/>
      <c r="D2" s="42"/>
      <c r="E2" s="42"/>
    </row>
    <row r="3" spans="2:10" ht="28.15" customHeight="1">
      <c r="B3" s="42" t="s">
        <v>22</v>
      </c>
      <c r="C3" s="42"/>
      <c r="D3" s="42"/>
      <c r="E3" s="42"/>
      <c r="G3" s="39" t="s">
        <v>23</v>
      </c>
      <c r="I3" s="39" t="s">
        <v>23</v>
      </c>
      <c r="J3" s="40">
        <v>9</v>
      </c>
    </row>
    <row r="4" spans="2:10" ht="33" customHeight="1">
      <c r="B4" s="7"/>
      <c r="C4" s="7"/>
      <c r="D4" s="25"/>
      <c r="E4" s="25"/>
      <c r="H4" s="36" t="s">
        <v>24</v>
      </c>
    </row>
    <row r="5" spans="2:10">
      <c r="B5" s="8" t="s">
        <v>25</v>
      </c>
      <c r="C5" s="26" t="s">
        <v>26</v>
      </c>
      <c r="D5" s="27" t="s">
        <v>27</v>
      </c>
      <c r="E5" s="27" t="s">
        <v>28</v>
      </c>
    </row>
    <row r="6" spans="2:10">
      <c r="D6" s="28"/>
      <c r="E6" s="28"/>
    </row>
    <row r="7" spans="2:10">
      <c r="B7" s="29" t="s">
        <v>29</v>
      </c>
      <c r="C7" s="28"/>
      <c r="D7" s="28"/>
      <c r="E7" s="28"/>
    </row>
    <row r="8" spans="2:10" ht="43.15">
      <c r="B8" s="30" t="s">
        <v>30</v>
      </c>
      <c r="C8" s="28">
        <f>(15/115)*E8</f>
        <v>1186956.5217391304</v>
      </c>
      <c r="D8" s="28"/>
      <c r="E8" s="28">
        <v>9100000</v>
      </c>
      <c r="G8" s="39" t="s">
        <v>23</v>
      </c>
      <c r="H8" s="36" t="s">
        <v>31</v>
      </c>
    </row>
    <row r="9" spans="2:10">
      <c r="C9" s="28"/>
      <c r="D9" s="28"/>
      <c r="E9" s="28"/>
    </row>
    <row r="10" spans="2:10">
      <c r="B10" s="29" t="s">
        <v>32</v>
      </c>
      <c r="C10" s="28"/>
      <c r="D10" s="28"/>
      <c r="E10" s="28"/>
    </row>
    <row r="11" spans="2:10" ht="15.6">
      <c r="B11" s="30" t="s">
        <v>33</v>
      </c>
      <c r="C11" s="28">
        <v>0</v>
      </c>
      <c r="D11" s="28">
        <f>'Schedule A'!H7</f>
        <v>175812.96974547047</v>
      </c>
      <c r="E11" s="28"/>
      <c r="G11" s="39" t="s">
        <v>23</v>
      </c>
      <c r="I11" s="39" t="s">
        <v>23</v>
      </c>
    </row>
    <row r="12" spans="2:10" ht="28.9">
      <c r="B12" s="30" t="s">
        <v>34</v>
      </c>
      <c r="C12" s="1">
        <f>(15/115)*D12*-1</f>
        <v>-4336.2566451056746</v>
      </c>
      <c r="D12" s="28">
        <f>'Schedule A'!I7</f>
        <v>33244.634279143509</v>
      </c>
      <c r="E12" s="28"/>
      <c r="G12" s="39" t="s">
        <v>23</v>
      </c>
      <c r="H12" s="36" t="s">
        <v>35</v>
      </c>
      <c r="I12" s="39" t="s">
        <v>23</v>
      </c>
    </row>
    <row r="13" spans="2:10" ht="15.6">
      <c r="B13" s="30" t="s">
        <v>36</v>
      </c>
      <c r="C13" s="1">
        <f>(15/115)*D13*-1</f>
        <v>-40148.804347826088</v>
      </c>
      <c r="D13" s="28">
        <f>'Schedule B'!C11</f>
        <v>307807.5</v>
      </c>
      <c r="E13" s="28"/>
      <c r="G13" s="39" t="s">
        <v>23</v>
      </c>
      <c r="I13" s="39" t="s">
        <v>23</v>
      </c>
    </row>
    <row r="14" spans="2:10" ht="15.6">
      <c r="B14" s="30" t="s">
        <v>37</v>
      </c>
      <c r="C14" s="28">
        <v>0</v>
      </c>
      <c r="D14" s="28">
        <v>124897.5</v>
      </c>
      <c r="E14" s="28"/>
      <c r="G14" s="39" t="s">
        <v>23</v>
      </c>
      <c r="H14" s="36" t="s">
        <v>38</v>
      </c>
      <c r="I14" s="39" t="s">
        <v>23</v>
      </c>
    </row>
    <row r="15" spans="2:10" ht="15.6">
      <c r="B15" s="30" t="s">
        <v>39</v>
      </c>
      <c r="C15" s="1">
        <f>(15/115)*D15*-1</f>
        <v>-55434.782608695648</v>
      </c>
      <c r="D15" s="28">
        <v>425000</v>
      </c>
      <c r="E15" s="28"/>
      <c r="G15" s="39" t="s">
        <v>23</v>
      </c>
      <c r="H15" s="36" t="s">
        <v>38</v>
      </c>
      <c r="I15" s="39" t="s">
        <v>23</v>
      </c>
    </row>
    <row r="16" spans="2:10" ht="15.6">
      <c r="B16" s="30" t="s">
        <v>40</v>
      </c>
      <c r="C16" s="28"/>
      <c r="D16" s="31">
        <f>SUM(C8:C15)</f>
        <v>1087036.6781375029</v>
      </c>
      <c r="E16" s="28"/>
      <c r="G16" s="39" t="s">
        <v>23</v>
      </c>
    </row>
    <row r="17" spans="2:10">
      <c r="B17" s="32" t="s">
        <v>41</v>
      </c>
      <c r="C17" s="25"/>
      <c r="D17" s="25">
        <f>SUM(D9:D16)</f>
        <v>2153799.2821621168</v>
      </c>
      <c r="E17" s="28"/>
    </row>
    <row r="18" spans="2:10">
      <c r="C18" s="28"/>
      <c r="D18" s="28"/>
      <c r="E18" s="28"/>
    </row>
    <row r="19" spans="2:10">
      <c r="B19" s="16" t="s">
        <v>42</v>
      </c>
      <c r="C19" s="28"/>
      <c r="D19" s="28"/>
      <c r="E19" s="28"/>
    </row>
    <row r="20" spans="2:10" ht="28.9">
      <c r="B20" s="30" t="s">
        <v>43</v>
      </c>
      <c r="C20" s="39" t="s">
        <v>23</v>
      </c>
      <c r="D20" s="28">
        <f>E8-D17</f>
        <v>6946200.7178378832</v>
      </c>
      <c r="E20" s="28"/>
    </row>
    <row r="21" spans="2:10" ht="15.6">
      <c r="B21" t="s">
        <v>44</v>
      </c>
      <c r="C21" s="39" t="s">
        <v>23</v>
      </c>
      <c r="D21" s="28"/>
      <c r="E21" s="28"/>
    </row>
    <row r="22" spans="2:10" ht="28.9">
      <c r="B22" s="5" t="s">
        <v>45</v>
      </c>
      <c r="C22" s="39" t="s">
        <v>23</v>
      </c>
      <c r="D22" s="39" t="s">
        <v>23</v>
      </c>
      <c r="E22" s="28"/>
    </row>
    <row r="23" spans="2:10">
      <c r="C23" s="28"/>
      <c r="D23" s="31"/>
      <c r="E23" s="31"/>
    </row>
    <row r="24" spans="2:10">
      <c r="B24" s="17" t="s">
        <v>46</v>
      </c>
      <c r="C24" s="25"/>
      <c r="D24" s="33">
        <f>D20+D17</f>
        <v>9100000</v>
      </c>
      <c r="E24" s="33">
        <f>E8</f>
        <v>9100000</v>
      </c>
    </row>
    <row r="25" spans="2:10">
      <c r="C25" s="28"/>
      <c r="D25" s="28"/>
      <c r="E25" s="28"/>
    </row>
    <row r="26" spans="2:10">
      <c r="C26" s="28"/>
      <c r="D26" s="28"/>
      <c r="E26" s="28"/>
    </row>
    <row r="27" spans="2:10">
      <c r="B27" s="42" t="s">
        <v>47</v>
      </c>
      <c r="C27" s="42"/>
      <c r="D27" s="42"/>
      <c r="E27" s="42"/>
    </row>
    <row r="28" spans="2:10" ht="28.9" customHeight="1">
      <c r="B28" s="42" t="s">
        <v>48</v>
      </c>
      <c r="C28" s="42"/>
      <c r="D28" s="42"/>
      <c r="E28" s="42"/>
      <c r="G28" s="39" t="s">
        <v>23</v>
      </c>
      <c r="I28" s="39" t="s">
        <v>23</v>
      </c>
      <c r="J28" s="40">
        <v>11</v>
      </c>
    </row>
    <row r="29" spans="2:10">
      <c r="D29" s="28"/>
      <c r="E29" s="28"/>
    </row>
    <row r="30" spans="2:10">
      <c r="B30" s="8" t="s">
        <v>25</v>
      </c>
      <c r="C30" s="8" t="s">
        <v>26</v>
      </c>
      <c r="D30" s="34" t="s">
        <v>27</v>
      </c>
      <c r="E30" s="34" t="s">
        <v>28</v>
      </c>
    </row>
    <row r="31" spans="2:10">
      <c r="B31" s="29" t="s">
        <v>29</v>
      </c>
      <c r="D31" s="28"/>
      <c r="E31" s="28"/>
    </row>
    <row r="32" spans="2:10" ht="28.9">
      <c r="B32" s="30" t="s">
        <v>49</v>
      </c>
      <c r="C32" s="28">
        <f>(15/115)*E32</f>
        <v>456521.73913043475</v>
      </c>
      <c r="D32" s="28"/>
      <c r="E32" s="28">
        <v>3500000</v>
      </c>
      <c r="G32" s="39" t="s">
        <v>23</v>
      </c>
      <c r="H32" s="36" t="s">
        <v>31</v>
      </c>
    </row>
    <row r="33" spans="2:9">
      <c r="C33" s="28"/>
      <c r="D33" s="28"/>
      <c r="E33" s="28"/>
    </row>
    <row r="34" spans="2:9">
      <c r="B34" s="29" t="s">
        <v>32</v>
      </c>
      <c r="C34" s="28"/>
      <c r="D34" s="28"/>
      <c r="E34" s="28"/>
    </row>
    <row r="35" spans="2:9" ht="15.6">
      <c r="B35" s="30" t="s">
        <v>33</v>
      </c>
      <c r="C35" s="28">
        <v>0</v>
      </c>
      <c r="D35" s="28">
        <f>'Schedule A'!H8</f>
        <v>67620.372979027103</v>
      </c>
      <c r="E35" s="28"/>
      <c r="G35" s="39" t="s">
        <v>23</v>
      </c>
      <c r="I35" s="39" t="s">
        <v>23</v>
      </c>
    </row>
    <row r="36" spans="2:9" ht="28.9">
      <c r="B36" s="30" t="s">
        <v>34</v>
      </c>
      <c r="C36" s="1">
        <f>(15/115)*D36*-1</f>
        <v>-1667.7910173483365</v>
      </c>
      <c r="D36" s="28">
        <f>'Schedule A'!I8</f>
        <v>12786.39779967058</v>
      </c>
      <c r="E36" s="28"/>
      <c r="G36" s="39" t="s">
        <v>23</v>
      </c>
      <c r="H36" s="36" t="s">
        <v>35</v>
      </c>
      <c r="I36" s="39" t="s">
        <v>23</v>
      </c>
    </row>
    <row r="37" spans="2:9" ht="15.6">
      <c r="B37" s="30" t="s">
        <v>36</v>
      </c>
      <c r="C37" s="1">
        <f>(15/115)*D37*-1</f>
        <v>-51472.826085000001</v>
      </c>
      <c r="D37" s="28">
        <f>'Schedule B'!C19</f>
        <v>394624.999985</v>
      </c>
      <c r="E37" s="28"/>
      <c r="G37" s="39" t="s">
        <v>23</v>
      </c>
      <c r="I37" s="39" t="s">
        <v>23</v>
      </c>
    </row>
    <row r="38" spans="2:9" ht="15.6">
      <c r="B38" s="30" t="s">
        <v>39</v>
      </c>
      <c r="C38" s="1">
        <f>(15/115)*D38*-1</f>
        <v>-4247.4016408580319</v>
      </c>
      <c r="D38" s="28">
        <f>'Schedule C'!D9</f>
        <v>32563.412579911575</v>
      </c>
      <c r="E38" s="28"/>
      <c r="G38" s="39" t="s">
        <v>23</v>
      </c>
      <c r="H38" s="36" t="s">
        <v>38</v>
      </c>
      <c r="I38" s="39" t="s">
        <v>23</v>
      </c>
    </row>
    <row r="39" spans="2:9" ht="43.15">
      <c r="B39" s="30" t="s">
        <v>50</v>
      </c>
      <c r="C39" s="1">
        <f>(15/115)*D39*-1</f>
        <v>-3732.1004347826088</v>
      </c>
      <c r="D39" s="28">
        <v>28612.77</v>
      </c>
      <c r="E39" s="28"/>
      <c r="G39" s="39" t="s">
        <v>23</v>
      </c>
      <c r="H39" s="36" t="s">
        <v>38</v>
      </c>
      <c r="I39" s="39" t="s">
        <v>23</v>
      </c>
    </row>
    <row r="40" spans="2:9" ht="15.6">
      <c r="B40" s="30" t="s">
        <v>40</v>
      </c>
      <c r="C40" s="28"/>
      <c r="D40" s="31">
        <f>SUM(C32:C39)</f>
        <v>395401.61995244573</v>
      </c>
      <c r="E40" s="28"/>
      <c r="G40" s="39" t="s">
        <v>23</v>
      </c>
    </row>
    <row r="41" spans="2:9">
      <c r="B41" s="32" t="s">
        <v>41</v>
      </c>
      <c r="C41" s="28"/>
      <c r="D41" s="25">
        <f>SUM(D34:D40)</f>
        <v>931609.57329605496</v>
      </c>
      <c r="E41" s="28"/>
    </row>
    <row r="42" spans="2:9">
      <c r="C42" s="28"/>
      <c r="D42" s="28"/>
      <c r="E42" s="28"/>
    </row>
    <row r="43" spans="2:9">
      <c r="B43" s="16" t="s">
        <v>42</v>
      </c>
      <c r="C43" s="28"/>
      <c r="D43" s="28"/>
      <c r="E43" s="28"/>
    </row>
    <row r="44" spans="2:9" ht="28.9">
      <c r="B44" s="30" t="s">
        <v>51</v>
      </c>
      <c r="C44" s="39" t="s">
        <v>23</v>
      </c>
      <c r="D44" s="28">
        <f>E32-D41</f>
        <v>2568390.4267039448</v>
      </c>
      <c r="E44" s="39" t="s">
        <v>23</v>
      </c>
      <c r="F44" s="39" t="s">
        <v>23</v>
      </c>
    </row>
    <row r="45" spans="2:9" ht="15.6">
      <c r="B45" t="s">
        <v>52</v>
      </c>
      <c r="C45" s="39" t="s">
        <v>23</v>
      </c>
      <c r="D45" s="39" t="s">
        <v>23</v>
      </c>
      <c r="E45" s="28"/>
    </row>
    <row r="46" spans="2:9" ht="28.9">
      <c r="B46" s="30" t="s">
        <v>53</v>
      </c>
      <c r="C46" s="28"/>
      <c r="D46" s="28"/>
      <c r="E46" s="28"/>
      <c r="F46" s="35"/>
    </row>
    <row r="47" spans="2:9">
      <c r="B47" s="28">
        <f>3203046.89*0.165*(194/365)</f>
        <v>280902.82451753435</v>
      </c>
      <c r="C47" s="28"/>
      <c r="D47" s="28"/>
      <c r="E47" s="28"/>
      <c r="F47" s="35"/>
    </row>
    <row r="48" spans="2:9">
      <c r="B48" s="28">
        <f>3203046.89+280902.82</f>
        <v>3483949.71</v>
      </c>
      <c r="C48" s="28"/>
      <c r="D48" s="28"/>
      <c r="E48" s="28"/>
    </row>
    <row r="49" spans="2:10">
      <c r="C49" s="28"/>
      <c r="D49" s="28"/>
      <c r="E49" s="28"/>
    </row>
    <row r="50" spans="2:10" ht="28.9">
      <c r="B50" s="30" t="s">
        <v>54</v>
      </c>
      <c r="C50" s="39" t="s">
        <v>23</v>
      </c>
      <c r="D50" s="39" t="s">
        <v>23</v>
      </c>
      <c r="E50" s="39" t="s">
        <v>23</v>
      </c>
    </row>
    <row r="51" spans="2:10">
      <c r="B51" s="17" t="s">
        <v>46</v>
      </c>
      <c r="C51" s="28"/>
      <c r="D51" s="33">
        <f>D44+D41</f>
        <v>3500000</v>
      </c>
      <c r="E51" s="33">
        <f>E32</f>
        <v>3500000</v>
      </c>
    </row>
    <row r="52" spans="2:10">
      <c r="C52" s="28"/>
      <c r="D52" s="28"/>
      <c r="E52" s="28"/>
    </row>
    <row r="53" spans="2:10">
      <c r="C53" s="28"/>
      <c r="D53" s="28"/>
      <c r="E53" s="28"/>
    </row>
    <row r="54" spans="2:10">
      <c r="B54" s="42" t="s">
        <v>55</v>
      </c>
      <c r="C54" s="42"/>
      <c r="D54" s="42"/>
      <c r="E54" s="42"/>
    </row>
    <row r="55" spans="2:10" ht="43.15" customHeight="1">
      <c r="B55" s="42" t="s">
        <v>56</v>
      </c>
      <c r="C55" s="42"/>
      <c r="D55" s="42"/>
      <c r="E55" s="42"/>
      <c r="G55" s="39" t="s">
        <v>23</v>
      </c>
      <c r="I55" s="39" t="s">
        <v>23</v>
      </c>
      <c r="J55" s="40">
        <v>9</v>
      </c>
    </row>
    <row r="56" spans="2:10">
      <c r="D56" s="28"/>
      <c r="E56" s="28"/>
    </row>
    <row r="57" spans="2:10">
      <c r="B57" s="8" t="s">
        <v>25</v>
      </c>
      <c r="C57" s="8" t="s">
        <v>26</v>
      </c>
      <c r="D57" s="34" t="s">
        <v>27</v>
      </c>
      <c r="E57" s="34" t="s">
        <v>28</v>
      </c>
    </row>
    <row r="58" spans="2:10">
      <c r="B58" s="29" t="s">
        <v>29</v>
      </c>
      <c r="D58" s="28"/>
      <c r="E58" s="28"/>
    </row>
    <row r="59" spans="2:10" ht="28.9">
      <c r="B59" s="30" t="s">
        <v>57</v>
      </c>
      <c r="C59" s="28">
        <f>(15/115)*E59</f>
        <v>150000</v>
      </c>
      <c r="D59" s="28"/>
      <c r="E59" s="28">
        <v>1150000</v>
      </c>
      <c r="G59" s="39" t="s">
        <v>23</v>
      </c>
      <c r="H59" s="36" t="s">
        <v>31</v>
      </c>
    </row>
    <row r="61" spans="2:10">
      <c r="B61" s="29" t="s">
        <v>32</v>
      </c>
    </row>
    <row r="62" spans="2:10" ht="15.6">
      <c r="B62" s="30" t="s">
        <v>33</v>
      </c>
      <c r="C62">
        <v>0</v>
      </c>
      <c r="D62" s="1">
        <f>'Schedule A'!H9</f>
        <v>22218.122550251763</v>
      </c>
      <c r="G62" s="39" t="s">
        <v>23</v>
      </c>
      <c r="I62" s="39" t="s">
        <v>23</v>
      </c>
    </row>
    <row r="63" spans="2:10" ht="28.9">
      <c r="B63" s="30" t="s">
        <v>34</v>
      </c>
      <c r="C63" s="1">
        <f t="shared" ref="C63:C64" si="0">(15/115)*D63*-1</f>
        <v>-547.98847712873919</v>
      </c>
      <c r="D63" s="1">
        <f>'Schedule A'!I9</f>
        <v>4201.2449913203336</v>
      </c>
      <c r="G63" s="39" t="s">
        <v>23</v>
      </c>
      <c r="H63" s="36" t="s">
        <v>35</v>
      </c>
      <c r="I63" s="39" t="s">
        <v>23</v>
      </c>
    </row>
    <row r="64" spans="2:10" ht="15.6">
      <c r="B64" s="30" t="s">
        <v>36</v>
      </c>
      <c r="C64" s="1">
        <f t="shared" si="0"/>
        <v>-16912.5</v>
      </c>
      <c r="D64" s="1">
        <f>'Schedule B'!C27</f>
        <v>129662.5</v>
      </c>
      <c r="G64" s="39" t="s">
        <v>23</v>
      </c>
      <c r="I64" s="39" t="s">
        <v>23</v>
      </c>
    </row>
    <row r="65" spans="2:10" ht="15.6">
      <c r="B65" s="30" t="s">
        <v>40</v>
      </c>
      <c r="C65" s="1"/>
      <c r="D65" s="3">
        <f>SUM(C59:C64)</f>
        <v>132539.51152287127</v>
      </c>
      <c r="G65" s="39" t="s">
        <v>23</v>
      </c>
    </row>
    <row r="66" spans="2:10">
      <c r="B66" s="32" t="s">
        <v>41</v>
      </c>
      <c r="D66" s="18">
        <f>SUM(D62:D65)</f>
        <v>288621.3790644434</v>
      </c>
    </row>
    <row r="68" spans="2:10">
      <c r="B68" s="16" t="s">
        <v>42</v>
      </c>
    </row>
    <row r="69" spans="2:10" ht="28.9">
      <c r="B69" s="30" t="s">
        <v>58</v>
      </c>
      <c r="C69" s="39" t="s">
        <v>23</v>
      </c>
      <c r="D69" s="1">
        <f>E59-D66</f>
        <v>861378.6209355566</v>
      </c>
      <c r="G69" s="39" t="s">
        <v>23</v>
      </c>
      <c r="I69" s="39" t="s">
        <v>23</v>
      </c>
    </row>
    <row r="70" spans="2:10" ht="15.6">
      <c r="B70" t="s">
        <v>59</v>
      </c>
      <c r="C70" s="39" t="s">
        <v>23</v>
      </c>
      <c r="D70" s="39" t="s">
        <v>23</v>
      </c>
    </row>
    <row r="71" spans="2:10" ht="28.9">
      <c r="B71" s="30" t="s">
        <v>60</v>
      </c>
    </row>
    <row r="72" spans="2:10">
      <c r="B72" s="28">
        <f>1261052.55*0.1875*(194/365)</f>
        <v>125673.38768835619</v>
      </c>
    </row>
    <row r="73" spans="2:10">
      <c r="B73" s="1">
        <f>1261052.55+B72</f>
        <v>1386725.9376883563</v>
      </c>
    </row>
    <row r="74" spans="2:10" ht="28.9">
      <c r="B74" s="30" t="s">
        <v>54</v>
      </c>
      <c r="C74" s="39" t="s">
        <v>23</v>
      </c>
      <c r="D74" s="39" t="s">
        <v>23</v>
      </c>
      <c r="E74" s="39" t="s">
        <v>23</v>
      </c>
    </row>
    <row r="75" spans="2:10">
      <c r="B75" s="17" t="s">
        <v>46</v>
      </c>
      <c r="D75" s="19">
        <f>D69+D66</f>
        <v>1150000</v>
      </c>
      <c r="E75" s="19">
        <f>E59</f>
        <v>1150000</v>
      </c>
    </row>
    <row r="78" spans="2:10" ht="15.6">
      <c r="B78" s="41" t="s">
        <v>61</v>
      </c>
      <c r="C78" s="41"/>
      <c r="D78" s="41"/>
      <c r="E78" s="41"/>
      <c r="G78" s="39" t="s">
        <v>23</v>
      </c>
      <c r="J78" s="40">
        <v>20</v>
      </c>
    </row>
    <row r="79" spans="2:10">
      <c r="D79" s="28"/>
      <c r="E79" s="28"/>
    </row>
    <row r="80" spans="2:10">
      <c r="B80" s="8" t="s">
        <v>25</v>
      </c>
      <c r="C80" s="8" t="s">
        <v>26</v>
      </c>
      <c r="D80" s="34" t="s">
        <v>27</v>
      </c>
      <c r="E80" s="34" t="s">
        <v>28</v>
      </c>
    </row>
    <row r="81" spans="2:9">
      <c r="B81" s="29" t="s">
        <v>29</v>
      </c>
      <c r="D81" s="28"/>
      <c r="E81" s="28"/>
    </row>
    <row r="82" spans="2:9" ht="28.9">
      <c r="B82" s="30" t="s">
        <v>62</v>
      </c>
      <c r="C82" s="28">
        <f>(15/115)*E82</f>
        <v>30116.621739130434</v>
      </c>
      <c r="D82" s="28"/>
      <c r="E82" s="28">
        <v>230894.1</v>
      </c>
      <c r="G82" s="39" t="s">
        <v>23</v>
      </c>
      <c r="H82" s="37" t="s">
        <v>31</v>
      </c>
    </row>
    <row r="83" spans="2:9" ht="43.15">
      <c r="B83" s="30" t="s">
        <v>63</v>
      </c>
      <c r="C83" s="28">
        <f>(15/115)*E83</f>
        <v>5700</v>
      </c>
      <c r="D83" s="28"/>
      <c r="E83" s="28">
        <v>43700</v>
      </c>
      <c r="G83" s="39" t="s">
        <v>23</v>
      </c>
      <c r="H83" s="37" t="s">
        <v>31</v>
      </c>
    </row>
    <row r="84" spans="2:9" ht="28.9">
      <c r="B84" s="30" t="s">
        <v>64</v>
      </c>
      <c r="C84" s="28">
        <v>0</v>
      </c>
      <c r="D84" s="28"/>
      <c r="E84" s="28">
        <v>88405.08</v>
      </c>
      <c r="G84" s="39" t="s">
        <v>23</v>
      </c>
      <c r="H84" s="37" t="s">
        <v>31</v>
      </c>
    </row>
    <row r="85" spans="2:9" ht="28.9">
      <c r="B85" s="30" t="s">
        <v>65</v>
      </c>
      <c r="C85" s="28">
        <f>(15/115)*E85</f>
        <v>15766.533913043477</v>
      </c>
      <c r="D85" s="28"/>
      <c r="E85" s="28">
        <v>120876.76</v>
      </c>
      <c r="H85" s="37" t="s">
        <v>31</v>
      </c>
    </row>
    <row r="86" spans="2:9">
      <c r="C86" s="28"/>
      <c r="D86" s="28"/>
      <c r="E86" s="28"/>
      <c r="H86" s="37"/>
    </row>
    <row r="87" spans="2:9">
      <c r="B87" s="29" t="s">
        <v>32</v>
      </c>
      <c r="C87" s="28"/>
      <c r="D87" s="28"/>
      <c r="E87" s="28"/>
    </row>
    <row r="88" spans="2:9" ht="15.6">
      <c r="B88" s="30" t="s">
        <v>33</v>
      </c>
      <c r="C88" s="28">
        <v>0</v>
      </c>
      <c r="D88" s="28">
        <f>'Schedule A'!H10</f>
        <v>9348.5347252506581</v>
      </c>
      <c r="E88" s="28"/>
      <c r="G88" s="39" t="s">
        <v>23</v>
      </c>
      <c r="I88" s="39" t="s">
        <v>23</v>
      </c>
    </row>
    <row r="89" spans="2:9" ht="28.9">
      <c r="B89" s="30" t="s">
        <v>34</v>
      </c>
      <c r="C89" s="1">
        <f t="shared" ref="C89:C91" si="1">(15/115)*D89*-1</f>
        <v>-230.57255606942334</v>
      </c>
      <c r="D89" s="28">
        <f>'Schedule A'!I10</f>
        <v>1767.7229298655791</v>
      </c>
      <c r="E89" s="28"/>
      <c r="G89" s="39" t="s">
        <v>23</v>
      </c>
      <c r="H89" s="36" t="s">
        <v>35</v>
      </c>
      <c r="I89" s="39" t="s">
        <v>23</v>
      </c>
    </row>
    <row r="90" spans="2:9" ht="15.6">
      <c r="B90" s="30" t="s">
        <v>36</v>
      </c>
      <c r="C90" s="1">
        <f t="shared" si="1"/>
        <v>-7142.0769997826092</v>
      </c>
      <c r="D90" s="28">
        <f>'Schedule B'!C47</f>
        <v>54755.923665000002</v>
      </c>
      <c r="E90" s="28"/>
      <c r="G90" s="39" t="s">
        <v>23</v>
      </c>
      <c r="I90" s="39" t="s">
        <v>23</v>
      </c>
    </row>
    <row r="91" spans="2:9" ht="15.6">
      <c r="B91" s="30" t="s">
        <v>39</v>
      </c>
      <c r="C91" s="1">
        <f t="shared" si="1"/>
        <v>-333.23183740283832</v>
      </c>
      <c r="D91" s="28">
        <f>'Schedule C'!D10</f>
        <v>2554.7774200884273</v>
      </c>
      <c r="E91" s="28"/>
      <c r="G91" s="39" t="s">
        <v>23</v>
      </c>
      <c r="H91" s="36" t="s">
        <v>38</v>
      </c>
      <c r="I91" s="39" t="s">
        <v>23</v>
      </c>
    </row>
    <row r="92" spans="2:9" ht="28.9">
      <c r="B92" s="30" t="s">
        <v>66</v>
      </c>
      <c r="C92" s="28">
        <v>0</v>
      </c>
      <c r="D92" s="28">
        <v>15000</v>
      </c>
      <c r="E92" s="28"/>
      <c r="H92" s="36" t="s">
        <v>38</v>
      </c>
    </row>
    <row r="93" spans="2:9">
      <c r="B93" s="5" t="s">
        <v>67</v>
      </c>
      <c r="C93" s="28"/>
      <c r="D93" s="28"/>
      <c r="E93" s="28"/>
    </row>
    <row r="94" spans="2:9" ht="15.6">
      <c r="B94" s="30" t="s">
        <v>68</v>
      </c>
      <c r="C94" s="1">
        <f t="shared" ref="C94:C101" si="2">(15/115)*D94*-1</f>
        <v>-120</v>
      </c>
      <c r="D94" s="28">
        <v>920</v>
      </c>
      <c r="E94" s="28"/>
      <c r="G94" s="39" t="s">
        <v>23</v>
      </c>
      <c r="H94" s="39" t="s">
        <v>23</v>
      </c>
      <c r="I94" s="39" t="s">
        <v>23</v>
      </c>
    </row>
    <row r="95" spans="2:9" ht="15.6">
      <c r="B95" s="30" t="s">
        <v>69</v>
      </c>
      <c r="C95" s="1">
        <f t="shared" si="2"/>
        <v>-4.9330434782608696</v>
      </c>
      <c r="D95" s="28">
        <v>37.82</v>
      </c>
      <c r="E95" s="28"/>
      <c r="G95" s="39" t="s">
        <v>23</v>
      </c>
      <c r="H95" s="39" t="s">
        <v>23</v>
      </c>
      <c r="I95" s="39" t="s">
        <v>23</v>
      </c>
    </row>
    <row r="96" spans="2:9" ht="15.6">
      <c r="B96" s="30" t="s">
        <v>70</v>
      </c>
      <c r="C96" s="1">
        <f t="shared" si="2"/>
        <v>-4.9330434782608696</v>
      </c>
      <c r="D96" s="28">
        <v>37.82</v>
      </c>
      <c r="E96" s="28"/>
      <c r="G96" s="39" t="s">
        <v>23</v>
      </c>
      <c r="H96" s="39" t="s">
        <v>23</v>
      </c>
      <c r="I96" s="39" t="s">
        <v>23</v>
      </c>
    </row>
    <row r="97" spans="2:9" ht="15.6">
      <c r="B97" s="30" t="s">
        <v>71</v>
      </c>
      <c r="C97" s="1">
        <f t="shared" si="2"/>
        <v>-4.9330434782608696</v>
      </c>
      <c r="D97" s="28">
        <v>37.82</v>
      </c>
      <c r="E97" s="28"/>
      <c r="G97" s="39" t="s">
        <v>23</v>
      </c>
      <c r="H97" s="39" t="s">
        <v>23</v>
      </c>
      <c r="I97" s="39" t="s">
        <v>23</v>
      </c>
    </row>
    <row r="98" spans="2:9" ht="28.9">
      <c r="B98" s="30" t="s">
        <v>72</v>
      </c>
      <c r="C98" s="1">
        <f t="shared" si="2"/>
        <v>-52.173913043478258</v>
      </c>
      <c r="D98" s="28">
        <v>400</v>
      </c>
      <c r="E98" s="28"/>
      <c r="G98" s="39" t="s">
        <v>23</v>
      </c>
      <c r="H98" s="39" t="s">
        <v>23</v>
      </c>
      <c r="I98" s="39" t="s">
        <v>23</v>
      </c>
    </row>
    <row r="99" spans="2:9" ht="15.6">
      <c r="B99" s="30" t="s">
        <v>73</v>
      </c>
      <c r="C99" s="28">
        <f t="shared" si="2"/>
        <v>-134.34782608695653</v>
      </c>
      <c r="D99" s="28">
        <v>1030</v>
      </c>
      <c r="E99" s="28"/>
      <c r="G99" s="39" t="s">
        <v>23</v>
      </c>
      <c r="H99" s="39" t="s">
        <v>23</v>
      </c>
      <c r="I99" s="39" t="s">
        <v>23</v>
      </c>
    </row>
    <row r="100" spans="2:9" ht="28.9">
      <c r="B100" s="30" t="s">
        <v>74</v>
      </c>
      <c r="C100" s="28">
        <f t="shared" si="2"/>
        <v>-901.83913043478265</v>
      </c>
      <c r="D100" s="28">
        <v>6914.1</v>
      </c>
      <c r="E100" s="28"/>
      <c r="G100" s="39" t="s">
        <v>23</v>
      </c>
      <c r="H100" s="39" t="s">
        <v>23</v>
      </c>
      <c r="I100" s="39" t="s">
        <v>23</v>
      </c>
    </row>
    <row r="101" spans="2:9" ht="15.6">
      <c r="B101" s="30" t="s">
        <v>75</v>
      </c>
      <c r="C101" s="28">
        <f t="shared" si="2"/>
        <v>-2430.2517391304345</v>
      </c>
      <c r="D101" s="28">
        <v>18631.93</v>
      </c>
      <c r="E101" s="28"/>
      <c r="G101" s="39" t="s">
        <v>23</v>
      </c>
      <c r="H101" s="39" t="s">
        <v>23</v>
      </c>
      <c r="I101" s="39" t="s">
        <v>23</v>
      </c>
    </row>
    <row r="102" spans="2:9">
      <c r="B102" s="30" t="s">
        <v>40</v>
      </c>
      <c r="C102" s="28"/>
      <c r="D102" s="31">
        <f>SUM(C82:C101)</f>
        <v>40223.862519788599</v>
      </c>
      <c r="E102" s="28"/>
    </row>
    <row r="103" spans="2:9">
      <c r="B103" s="32" t="s">
        <v>41</v>
      </c>
      <c r="C103" s="28"/>
      <c r="D103" s="25">
        <f>SUM(D88:D102)</f>
        <v>151660.31125999329</v>
      </c>
      <c r="E103" s="28"/>
    </row>
    <row r="104" spans="2:9">
      <c r="B104" s="1">
        <f>SUM(E82:E85)-D103</f>
        <v>332215.62874000671</v>
      </c>
      <c r="C104" s="28"/>
      <c r="D104" s="28"/>
      <c r="E104" s="28"/>
    </row>
    <row r="105" spans="2:9">
      <c r="B105" s="16" t="s">
        <v>42</v>
      </c>
      <c r="C105" s="28"/>
      <c r="D105" s="28"/>
      <c r="E105" s="28"/>
    </row>
    <row r="106" spans="2:9">
      <c r="C106" s="28"/>
      <c r="D106" s="28"/>
      <c r="E106" s="28"/>
    </row>
    <row r="107" spans="2:9">
      <c r="B107" t="s">
        <v>76</v>
      </c>
      <c r="C107" s="28"/>
      <c r="D107" s="28"/>
      <c r="E107" s="28"/>
    </row>
    <row r="108" spans="2:9" ht="15.6">
      <c r="B108" t="s">
        <v>77</v>
      </c>
      <c r="C108" s="39" t="s">
        <v>23</v>
      </c>
      <c r="D108" s="28"/>
      <c r="E108" s="28"/>
    </row>
    <row r="109" spans="2:9" ht="15.6">
      <c r="B109" t="s">
        <v>78</v>
      </c>
      <c r="C109" s="39" t="s">
        <v>23</v>
      </c>
      <c r="D109" s="28">
        <v>12000</v>
      </c>
      <c r="E109" s="39" t="s">
        <v>23</v>
      </c>
    </row>
    <row r="110" spans="2:9" ht="15.6">
      <c r="B110" t="s">
        <v>79</v>
      </c>
      <c r="C110" s="39" t="s">
        <v>23</v>
      </c>
      <c r="D110" s="28">
        <v>4000</v>
      </c>
      <c r="E110" s="39" t="s">
        <v>23</v>
      </c>
    </row>
    <row r="111" spans="2:9" ht="15.6">
      <c r="B111" t="s">
        <v>80</v>
      </c>
      <c r="C111" s="39" t="s">
        <v>23</v>
      </c>
      <c r="D111" s="28"/>
      <c r="E111" s="28"/>
    </row>
    <row r="112" spans="2:9">
      <c r="B112" t="s">
        <v>78</v>
      </c>
      <c r="C112" s="28"/>
      <c r="D112" s="28">
        <v>12000</v>
      </c>
      <c r="E112" s="28"/>
    </row>
    <row r="113" spans="2:6">
      <c r="B113" t="s">
        <v>81</v>
      </c>
      <c r="C113" s="28"/>
      <c r="D113" s="28"/>
      <c r="E113" s="28"/>
    </row>
    <row r="114" spans="2:6" ht="15.6">
      <c r="B114" t="s">
        <v>82</v>
      </c>
      <c r="C114" s="39" t="s">
        <v>23</v>
      </c>
      <c r="D114" s="28">
        <v>119345.02</v>
      </c>
      <c r="E114" s="39" t="s">
        <v>23</v>
      </c>
      <c r="F114" s="39" t="s">
        <v>23</v>
      </c>
    </row>
    <row r="115" spans="2:6" ht="15.6">
      <c r="B115" t="s">
        <v>83</v>
      </c>
      <c r="C115" s="39" t="s">
        <v>23</v>
      </c>
      <c r="D115" s="28">
        <v>17841.62</v>
      </c>
      <c r="E115" s="39" t="s">
        <v>23</v>
      </c>
      <c r="F115" s="39" t="s">
        <v>23</v>
      </c>
    </row>
    <row r="116" spans="2:6">
      <c r="C116" s="28"/>
      <c r="D116" s="28"/>
      <c r="E116" s="28"/>
    </row>
    <row r="117" spans="2:6">
      <c r="B117" t="s">
        <v>84</v>
      </c>
      <c r="C117" s="28"/>
      <c r="D117" s="28">
        <f>SUM(E82:E85)-D103-SUM(D109:D115)</f>
        <v>167028.98874000669</v>
      </c>
      <c r="E117" s="28"/>
    </row>
    <row r="118" spans="2:6">
      <c r="B118" t="s">
        <v>85</v>
      </c>
      <c r="C118" s="28"/>
      <c r="D118" s="31"/>
      <c r="E118" s="31"/>
    </row>
    <row r="119" spans="2:6">
      <c r="B119" s="17" t="s">
        <v>46</v>
      </c>
      <c r="C119" s="28"/>
      <c r="D119" s="33">
        <f>SUM(D103:D118)</f>
        <v>483875.94</v>
      </c>
      <c r="E119" s="33">
        <f>SUM(E82:E85)</f>
        <v>483875.94</v>
      </c>
    </row>
    <row r="120" spans="2:6">
      <c r="C120" s="28"/>
      <c r="D120" s="28"/>
      <c r="E120" s="28"/>
    </row>
    <row r="121" spans="2:6">
      <c r="C121" s="28"/>
      <c r="D121" s="28"/>
      <c r="E121" s="28"/>
    </row>
    <row r="122" spans="2:6">
      <c r="C122" s="28"/>
      <c r="D122" s="28"/>
      <c r="E122" s="28"/>
    </row>
    <row r="123" spans="2:6">
      <c r="C123" s="28"/>
      <c r="D123" s="28"/>
      <c r="E123" s="28"/>
    </row>
    <row r="124" spans="2:6">
      <c r="C124" s="28"/>
      <c r="D124" s="28"/>
      <c r="E124" s="28"/>
    </row>
    <row r="125" spans="2:6">
      <c r="C125" s="28"/>
      <c r="D125" s="28"/>
      <c r="E125" s="28"/>
    </row>
    <row r="126" spans="2:6">
      <c r="C126" s="28"/>
      <c r="D126" s="28"/>
      <c r="E126" s="28"/>
    </row>
    <row r="127" spans="2:6">
      <c r="C127" s="28"/>
      <c r="D127" s="28"/>
      <c r="E127" s="28"/>
    </row>
    <row r="128" spans="2:6">
      <c r="C128" s="28"/>
      <c r="D128" s="28"/>
      <c r="E128" s="28"/>
    </row>
    <row r="129" spans="3:5">
      <c r="C129" s="28"/>
      <c r="D129" s="28"/>
      <c r="E129" s="28"/>
    </row>
    <row r="130" spans="3:5">
      <c r="C130" s="28"/>
      <c r="D130" s="28"/>
      <c r="E130" s="28"/>
    </row>
    <row r="131" spans="3:5">
      <c r="C131" s="28"/>
      <c r="D131" s="28"/>
      <c r="E131" s="28"/>
    </row>
  </sheetData>
  <mergeCells count="7">
    <mergeCell ref="B78:E78"/>
    <mergeCell ref="B2:E2"/>
    <mergeCell ref="B3:E3"/>
    <mergeCell ref="B27:E27"/>
    <mergeCell ref="B28:E28"/>
    <mergeCell ref="B54:E54"/>
    <mergeCell ref="B55:E5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1AF0-1BBF-45E4-AD83-0CD034B2A5E0}">
  <dimension ref="B1:K20"/>
  <sheetViews>
    <sheetView workbookViewId="0">
      <selection activeCell="G20" sqref="G20"/>
    </sheetView>
  </sheetViews>
  <sheetFormatPr defaultColWidth="8.7109375" defaultRowHeight="14.45"/>
  <cols>
    <col min="1" max="1" width="4.42578125" customWidth="1"/>
    <col min="2" max="2" width="4.140625" customWidth="1"/>
    <col min="3" max="3" width="20.7109375" bestFit="1" customWidth="1"/>
    <col min="4" max="9" width="14.7109375" customWidth="1"/>
  </cols>
  <sheetData>
    <row r="1" spans="2:11">
      <c r="K1" s="40">
        <v>3</v>
      </c>
    </row>
    <row r="2" spans="2:11">
      <c r="B2" s="41" t="s">
        <v>8</v>
      </c>
      <c r="C2" s="41"/>
      <c r="D2" s="41"/>
      <c r="E2" s="41"/>
      <c r="F2" s="41"/>
      <c r="G2" s="41"/>
      <c r="H2" s="41"/>
      <c r="I2" s="41"/>
    </row>
    <row r="3" spans="2:11" ht="28.9">
      <c r="B3" s="22" t="s">
        <v>86</v>
      </c>
      <c r="C3" s="22" t="s">
        <v>87</v>
      </c>
      <c r="D3" s="22" t="s">
        <v>88</v>
      </c>
      <c r="E3" s="22" t="s">
        <v>89</v>
      </c>
      <c r="F3" s="22" t="s">
        <v>90</v>
      </c>
      <c r="G3" s="22" t="s">
        <v>91</v>
      </c>
      <c r="H3" s="22" t="s">
        <v>92</v>
      </c>
      <c r="I3" s="22" t="s">
        <v>93</v>
      </c>
    </row>
    <row r="4" spans="2:11" ht="6" customHeight="1"/>
    <row r="5" spans="2:11">
      <c r="B5">
        <v>1</v>
      </c>
      <c r="C5" t="s">
        <v>94</v>
      </c>
      <c r="D5" s="2">
        <f>8946765.32</f>
        <v>8946765.3200000003</v>
      </c>
      <c r="E5" s="2">
        <f>Accounts!D20</f>
        <v>6946200.7178378832</v>
      </c>
      <c r="F5" s="2">
        <v>0</v>
      </c>
      <c r="G5" s="2">
        <f>D5-E5-F5</f>
        <v>2000564.6021621171</v>
      </c>
      <c r="H5" s="2">
        <f>E5+F5</f>
        <v>6946200.7178378832</v>
      </c>
      <c r="I5" s="2">
        <f>(G5/$G$15)*$I$15</f>
        <v>90986.446231740643</v>
      </c>
    </row>
    <row r="6" spans="2:11" ht="15.6">
      <c r="B6">
        <v>2</v>
      </c>
      <c r="C6" t="s">
        <v>95</v>
      </c>
      <c r="D6" s="2">
        <f>Accounts!B48</f>
        <v>3483949.71</v>
      </c>
      <c r="E6" s="2">
        <f>Accounts!D44</f>
        <v>2568390.4267039448</v>
      </c>
      <c r="F6" s="2">
        <v>0</v>
      </c>
      <c r="G6" s="2">
        <f t="shared" ref="G6:G14" si="0">D6-E6-F6</f>
        <v>915559.28329605516</v>
      </c>
      <c r="H6" s="2">
        <f t="shared" ref="H6:H14" si="1">E6+F6</f>
        <v>2568390.4267039448</v>
      </c>
      <c r="I6" s="2">
        <f t="shared" ref="I6:I14" si="2">(G6/$G$15)*$I$15</f>
        <v>41639.987737240277</v>
      </c>
      <c r="K6" s="39" t="s">
        <v>23</v>
      </c>
    </row>
    <row r="7" spans="2:11">
      <c r="B7">
        <v>3</v>
      </c>
      <c r="C7" t="s">
        <v>96</v>
      </c>
      <c r="D7" s="2">
        <v>17410.61</v>
      </c>
      <c r="E7" s="2">
        <v>0</v>
      </c>
      <c r="F7" s="2">
        <v>0</v>
      </c>
      <c r="G7" s="2">
        <f t="shared" si="0"/>
        <v>17410.61</v>
      </c>
      <c r="H7" s="2">
        <f t="shared" si="1"/>
        <v>0</v>
      </c>
      <c r="I7" s="2">
        <f t="shared" si="2"/>
        <v>791.84122767880251</v>
      </c>
    </row>
    <row r="8" spans="2:11" ht="15.6">
      <c r="B8">
        <v>4</v>
      </c>
      <c r="C8" t="s">
        <v>97</v>
      </c>
      <c r="D8" s="2">
        <f>Accounts!B73</f>
        <v>1386725.9376883563</v>
      </c>
      <c r="E8" s="2">
        <f>Accounts!D69</f>
        <v>861378.6209355566</v>
      </c>
      <c r="F8" s="2">
        <v>0</v>
      </c>
      <c r="G8" s="2">
        <f t="shared" si="0"/>
        <v>525347.31675279967</v>
      </c>
      <c r="H8" s="2">
        <f t="shared" si="1"/>
        <v>861378.6209355566</v>
      </c>
      <c r="I8" s="2">
        <f t="shared" si="2"/>
        <v>23892.997675285453</v>
      </c>
      <c r="K8" s="39" t="s">
        <v>23</v>
      </c>
    </row>
    <row r="9" spans="2:11" ht="15.6">
      <c r="B9">
        <v>5</v>
      </c>
      <c r="C9" t="s">
        <v>98</v>
      </c>
      <c r="D9" s="2">
        <f>119345.02+17841.62</f>
        <v>137186.64000000001</v>
      </c>
      <c r="E9" s="2">
        <v>0</v>
      </c>
      <c r="F9" s="2">
        <f>Accounts!D114+Accounts!D115</f>
        <v>137186.64000000001</v>
      </c>
      <c r="G9" s="2">
        <f t="shared" si="0"/>
        <v>0</v>
      </c>
      <c r="H9" s="2">
        <f t="shared" si="1"/>
        <v>137186.64000000001</v>
      </c>
      <c r="I9" s="2">
        <f t="shared" si="2"/>
        <v>0</v>
      </c>
      <c r="K9" s="39" t="s">
        <v>23</v>
      </c>
    </row>
    <row r="10" spans="2:11">
      <c r="B10">
        <v>6</v>
      </c>
      <c r="C10" t="s">
        <v>99</v>
      </c>
      <c r="D10" s="2">
        <v>3668.29</v>
      </c>
      <c r="E10" s="2">
        <v>0</v>
      </c>
      <c r="F10" s="2">
        <v>0</v>
      </c>
      <c r="G10" s="2">
        <f t="shared" si="0"/>
        <v>3668.29</v>
      </c>
      <c r="H10" s="2">
        <f t="shared" si="1"/>
        <v>0</v>
      </c>
      <c r="I10" s="2">
        <f t="shared" si="2"/>
        <v>166.83523765576709</v>
      </c>
    </row>
    <row r="11" spans="2:11" ht="15.6">
      <c r="B11">
        <v>7</v>
      </c>
      <c r="C11" t="s">
        <v>100</v>
      </c>
      <c r="D11" s="2">
        <v>54000</v>
      </c>
      <c r="E11" s="2">
        <v>0</v>
      </c>
      <c r="F11" s="2">
        <f>Accounts!D109+Accounts!D110</f>
        <v>16000</v>
      </c>
      <c r="G11" s="2">
        <f t="shared" si="0"/>
        <v>38000</v>
      </c>
      <c r="H11" s="2">
        <f t="shared" si="1"/>
        <v>16000</v>
      </c>
      <c r="I11" s="2">
        <f t="shared" si="2"/>
        <v>1728.2545902638963</v>
      </c>
      <c r="K11" s="39" t="s">
        <v>23</v>
      </c>
    </row>
    <row r="12" spans="2:11">
      <c r="B12">
        <v>8</v>
      </c>
      <c r="C12" t="s">
        <v>101</v>
      </c>
      <c r="D12" s="2">
        <v>100000</v>
      </c>
      <c r="E12" s="2">
        <v>0</v>
      </c>
      <c r="F12" s="2">
        <v>0</v>
      </c>
      <c r="G12" s="2">
        <f t="shared" si="0"/>
        <v>100000</v>
      </c>
      <c r="H12" s="2">
        <f t="shared" si="1"/>
        <v>0</v>
      </c>
      <c r="I12" s="2">
        <f t="shared" si="2"/>
        <v>4548.0383954313065</v>
      </c>
    </row>
    <row r="13" spans="2:11">
      <c r="B13">
        <v>9</v>
      </c>
      <c r="C13" t="s">
        <v>102</v>
      </c>
      <c r="D13" s="2">
        <v>72000</v>
      </c>
      <c r="E13" s="2">
        <v>0</v>
      </c>
      <c r="F13" s="2">
        <v>0</v>
      </c>
      <c r="G13" s="2">
        <f t="shared" si="0"/>
        <v>72000</v>
      </c>
      <c r="H13" s="2">
        <f t="shared" si="1"/>
        <v>0</v>
      </c>
      <c r="I13" s="2">
        <f t="shared" si="2"/>
        <v>3274.5876447105406</v>
      </c>
    </row>
    <row r="14" spans="2:11">
      <c r="B14">
        <v>10</v>
      </c>
      <c r="C14" t="s">
        <v>103</v>
      </c>
      <c r="D14" s="2">
        <v>12000</v>
      </c>
      <c r="E14" s="2">
        <v>0</v>
      </c>
      <c r="F14" s="2">
        <f>Accounts!D112</f>
        <v>12000</v>
      </c>
      <c r="G14" s="4">
        <f t="shared" si="0"/>
        <v>0</v>
      </c>
      <c r="H14" s="2">
        <f t="shared" si="1"/>
        <v>12000</v>
      </c>
      <c r="I14" s="4">
        <f t="shared" si="2"/>
        <v>0</v>
      </c>
    </row>
    <row r="15" spans="2:11">
      <c r="G15" s="18">
        <f>SUM(G5:G14)</f>
        <v>3672550.102210972</v>
      </c>
      <c r="I15" s="18">
        <f>Accounts!D117</f>
        <v>167028.98874000669</v>
      </c>
    </row>
    <row r="17" spans="3:9">
      <c r="I17">
        <f>I15/G15</f>
        <v>4.5480383954313065E-2</v>
      </c>
    </row>
    <row r="18" spans="3:9">
      <c r="C18" s="7" t="s">
        <v>104</v>
      </c>
      <c r="I18" s="21">
        <f>I17*100</f>
        <v>4.5480383954313064</v>
      </c>
    </row>
    <row r="20" spans="3:9" ht="15.6">
      <c r="F20" s="39" t="s">
        <v>23</v>
      </c>
      <c r="G20" s="39" t="s">
        <v>23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84C7-18F4-47D5-9856-2A1C49C6A910}">
  <dimension ref="B2:I108"/>
  <sheetViews>
    <sheetView workbookViewId="0">
      <selection activeCell="E14" sqref="E14"/>
    </sheetView>
  </sheetViews>
  <sheetFormatPr defaultColWidth="8.7109375" defaultRowHeight="14.45"/>
  <cols>
    <col min="2" max="2" width="54.7109375" bestFit="1" customWidth="1"/>
    <col min="3" max="5" width="13.7109375" bestFit="1" customWidth="1"/>
    <col min="8" max="8" width="31.7109375" bestFit="1" customWidth="1"/>
    <col min="9" max="9" width="12.7109375" bestFit="1" customWidth="1"/>
    <col min="10" max="10" width="10.28515625" bestFit="1" customWidth="1"/>
  </cols>
  <sheetData>
    <row r="2" spans="2:9">
      <c r="B2" s="41" t="s">
        <v>105</v>
      </c>
      <c r="C2" s="41"/>
      <c r="D2" s="41"/>
      <c r="F2" s="40">
        <v>4</v>
      </c>
    </row>
    <row r="3" spans="2:9">
      <c r="B3" s="7"/>
      <c r="C3" s="7"/>
      <c r="D3" s="7"/>
    </row>
    <row r="4" spans="2:9">
      <c r="B4" s="8" t="s">
        <v>25</v>
      </c>
      <c r="C4" s="8" t="s">
        <v>27</v>
      </c>
      <c r="D4" s="8" t="s">
        <v>28</v>
      </c>
    </row>
    <row r="6" spans="2:9" ht="15.6">
      <c r="B6" t="s">
        <v>106</v>
      </c>
      <c r="C6" s="2"/>
      <c r="D6" s="2">
        <v>13552455.810000001</v>
      </c>
      <c r="E6" s="39" t="s">
        <v>23</v>
      </c>
      <c r="F6" s="39" t="s">
        <v>23</v>
      </c>
    </row>
    <row r="7" spans="2:9">
      <c r="C7" s="2"/>
      <c r="D7" s="2"/>
      <c r="E7" s="2"/>
    </row>
    <row r="8" spans="2:9">
      <c r="C8" s="2"/>
      <c r="D8" s="2"/>
      <c r="E8" s="2"/>
    </row>
    <row r="9" spans="2:9">
      <c r="B9" s="8" t="s">
        <v>107</v>
      </c>
      <c r="C9" s="2"/>
      <c r="D9" s="2"/>
      <c r="E9" s="2"/>
    </row>
    <row r="10" spans="2:9">
      <c r="B10" t="s">
        <v>108</v>
      </c>
      <c r="C10" s="2">
        <v>26000</v>
      </c>
      <c r="D10" s="2"/>
      <c r="E10" s="2"/>
    </row>
    <row r="11" spans="2:9">
      <c r="B11" t="s">
        <v>109</v>
      </c>
      <c r="C11" s="2">
        <f>'Schedule A'!D21</f>
        <v>275000</v>
      </c>
      <c r="D11" s="2"/>
      <c r="E11" s="2"/>
    </row>
    <row r="12" spans="2:9">
      <c r="B12" t="s">
        <v>110</v>
      </c>
      <c r="C12" s="2">
        <f>'Schedule B'!C49</f>
        <v>886850.92365000001</v>
      </c>
      <c r="D12" s="2"/>
      <c r="E12" s="2"/>
      <c r="G12">
        <v>1.2</v>
      </c>
      <c r="H12" t="s">
        <v>111</v>
      </c>
      <c r="I12" s="3">
        <f>SUM(I13:I15)</f>
        <v>3774594.1</v>
      </c>
    </row>
    <row r="13" spans="2:9">
      <c r="B13" t="s">
        <v>112</v>
      </c>
      <c r="C13" s="2">
        <f>Accounts!D98</f>
        <v>400</v>
      </c>
      <c r="D13" s="2"/>
      <c r="E13" s="2"/>
      <c r="G13" t="s">
        <v>113</v>
      </c>
      <c r="H13" t="s">
        <v>114</v>
      </c>
      <c r="I13" s="2">
        <v>3500000</v>
      </c>
    </row>
    <row r="14" spans="2:9" ht="15.6">
      <c r="B14" t="s">
        <v>115</v>
      </c>
      <c r="C14" s="2">
        <f>Accounts!D99</f>
        <v>1030</v>
      </c>
      <c r="D14" s="2"/>
      <c r="E14" s="39" t="s">
        <v>23</v>
      </c>
      <c r="F14" s="39" t="s">
        <v>23</v>
      </c>
      <c r="G14" t="s">
        <v>116</v>
      </c>
      <c r="H14" t="s">
        <v>117</v>
      </c>
      <c r="I14" s="2">
        <v>230894.1</v>
      </c>
    </row>
    <row r="15" spans="2:9">
      <c r="B15" t="s">
        <v>118</v>
      </c>
      <c r="C15" s="2">
        <f>'Schedule D'!E10</f>
        <v>1655201.6721326085</v>
      </c>
      <c r="D15" s="2"/>
      <c r="E15" s="2"/>
      <c r="G15" t="s">
        <v>119</v>
      </c>
      <c r="H15" t="s">
        <v>120</v>
      </c>
      <c r="I15" s="2">
        <v>43700</v>
      </c>
    </row>
    <row r="16" spans="2:9">
      <c r="C16" s="2"/>
      <c r="D16" s="2"/>
      <c r="E16" s="2"/>
      <c r="I16" s="2"/>
    </row>
    <row r="17" spans="2:9">
      <c r="B17" s="8" t="s">
        <v>121</v>
      </c>
      <c r="C17" s="2"/>
      <c r="D17" s="2"/>
      <c r="E17" s="2"/>
      <c r="G17">
        <v>2.5</v>
      </c>
      <c r="H17" t="s">
        <v>122</v>
      </c>
      <c r="I17" s="2">
        <v>-28612.77</v>
      </c>
    </row>
    <row r="18" spans="2:9">
      <c r="B18" t="s">
        <v>123</v>
      </c>
      <c r="C18" s="2">
        <f>Accounts!D20</f>
        <v>6946200.7178378832</v>
      </c>
      <c r="D18" s="2"/>
      <c r="E18" s="2"/>
      <c r="G18">
        <v>2.14</v>
      </c>
      <c r="H18" t="s">
        <v>39</v>
      </c>
      <c r="I18" s="4">
        <v>-35118.19</v>
      </c>
    </row>
    <row r="19" spans="2:9">
      <c r="B19" t="s">
        <v>124</v>
      </c>
      <c r="C19" s="2">
        <f>Accounts!D44</f>
        <v>2568390.4267039448</v>
      </c>
      <c r="D19" s="2"/>
      <c r="E19" s="2"/>
      <c r="I19" s="2">
        <f>SUM(I17:I18)</f>
        <v>-63730.960000000006</v>
      </c>
    </row>
    <row r="20" spans="2:9">
      <c r="B20" t="s">
        <v>125</v>
      </c>
      <c r="C20" s="2">
        <f>Accounts!D69</f>
        <v>861378.6209355566</v>
      </c>
      <c r="D20" s="2"/>
      <c r="E20" s="2"/>
      <c r="I20" s="20"/>
    </row>
    <row r="21" spans="2:9">
      <c r="C21" s="2"/>
      <c r="D21" s="2"/>
      <c r="E21" s="2"/>
      <c r="I21" s="19">
        <f>I12+I19</f>
        <v>3710863.14</v>
      </c>
    </row>
    <row r="22" spans="2:9">
      <c r="B22" t="s">
        <v>126</v>
      </c>
      <c r="C22" s="2"/>
      <c r="D22" s="2"/>
      <c r="E22" s="2"/>
    </row>
    <row r="23" spans="2:9">
      <c r="B23" t="s">
        <v>127</v>
      </c>
      <c r="C23" s="2">
        <f>Accounts!D109+Accounts!D110</f>
        <v>16000</v>
      </c>
      <c r="D23" s="2"/>
      <c r="E23" s="2"/>
      <c r="H23" s="2"/>
      <c r="I23" s="3">
        <f>D39*-1</f>
        <v>-3438823.82</v>
      </c>
    </row>
    <row r="24" spans="2:9">
      <c r="B24" t="s">
        <v>128</v>
      </c>
      <c r="C24" s="2">
        <f>Accounts!D112</f>
        <v>12000</v>
      </c>
      <c r="D24" s="2"/>
      <c r="E24" s="2"/>
      <c r="H24" s="6" t="s">
        <v>129</v>
      </c>
      <c r="I24" s="18">
        <f>I21-3438823.82</f>
        <v>272039.3200000003</v>
      </c>
    </row>
    <row r="25" spans="2:9" ht="15.6">
      <c r="B25" t="s">
        <v>130</v>
      </c>
      <c r="C25" s="2">
        <f>Accounts!D114+Accounts!D115</f>
        <v>137186.64000000001</v>
      </c>
      <c r="D25" s="2"/>
      <c r="E25" s="39" t="s">
        <v>23</v>
      </c>
      <c r="F25" s="39" t="s">
        <v>23</v>
      </c>
    </row>
    <row r="26" spans="2:9">
      <c r="C26" s="2"/>
      <c r="D26" s="2"/>
      <c r="E26" s="2"/>
    </row>
    <row r="27" spans="2:9">
      <c r="B27" t="s">
        <v>131</v>
      </c>
      <c r="C27" s="2">
        <f>Accounts!D117</f>
        <v>167028.98874000669</v>
      </c>
      <c r="D27" s="2"/>
      <c r="E27" s="2"/>
    </row>
    <row r="28" spans="2:9">
      <c r="C28" s="2"/>
      <c r="D28" s="2"/>
      <c r="E28" s="2"/>
    </row>
    <row r="29" spans="2:9" ht="15.6">
      <c r="B29" s="7" t="s">
        <v>46</v>
      </c>
      <c r="C29" s="6">
        <f>SUM(C10:C28)</f>
        <v>13552667.990000002</v>
      </c>
      <c r="D29" s="6">
        <f>D6</f>
        <v>13552455.810000001</v>
      </c>
      <c r="E29" s="39" t="s">
        <v>23</v>
      </c>
      <c r="F29" s="39" t="s">
        <v>23</v>
      </c>
    </row>
    <row r="30" spans="2:9">
      <c r="C30" s="2"/>
      <c r="D30" s="2"/>
      <c r="E30" s="2"/>
    </row>
    <row r="31" spans="2:9">
      <c r="C31" s="2" t="s">
        <v>129</v>
      </c>
      <c r="D31" s="2">
        <f>D29-C29</f>
        <v>-212.18000000156462</v>
      </c>
      <c r="E31" s="2"/>
    </row>
    <row r="32" spans="2:9">
      <c r="C32" s="2"/>
      <c r="D32" s="2"/>
      <c r="E32" s="2"/>
    </row>
    <row r="33" spans="3:5">
      <c r="D33" s="2">
        <f>250</f>
        <v>250</v>
      </c>
      <c r="E33" s="2"/>
    </row>
    <row r="34" spans="3:5">
      <c r="C34" s="2" t="s">
        <v>132</v>
      </c>
      <c r="D34" s="4">
        <v>-37.82</v>
      </c>
      <c r="E34" s="2"/>
    </row>
    <row r="35" spans="3:5">
      <c r="C35" s="2"/>
      <c r="D35" s="2">
        <f>D34+D33</f>
        <v>212.18</v>
      </c>
      <c r="E35" s="2"/>
    </row>
    <row r="36" spans="3:5">
      <c r="C36" s="2"/>
      <c r="D36" s="2"/>
      <c r="E36" s="2"/>
    </row>
    <row r="37" spans="3:5">
      <c r="C37" s="2" t="s">
        <v>133</v>
      </c>
      <c r="D37" s="2" t="s">
        <v>134</v>
      </c>
      <c r="E37" s="2" t="s">
        <v>135</v>
      </c>
    </row>
    <row r="38" spans="3:5">
      <c r="C38" s="2">
        <v>26000</v>
      </c>
      <c r="D38" s="2">
        <v>8550102.5</v>
      </c>
      <c r="E38" s="2">
        <f>D38</f>
        <v>8550102.5</v>
      </c>
    </row>
    <row r="39" spans="3:5">
      <c r="C39" s="2">
        <v>18631.93</v>
      </c>
      <c r="D39" s="24">
        <v>3438823.82</v>
      </c>
      <c r="E39" s="6">
        <f>I21</f>
        <v>3710863.14</v>
      </c>
    </row>
    <row r="40" spans="3:5">
      <c r="C40" s="2">
        <v>920</v>
      </c>
      <c r="D40" s="2">
        <v>1150000</v>
      </c>
      <c r="E40" s="2">
        <f>D40</f>
        <v>1150000</v>
      </c>
    </row>
    <row r="41" spans="3:5">
      <c r="C41" s="2">
        <v>37.82</v>
      </c>
      <c r="D41" s="2">
        <v>81490.98</v>
      </c>
      <c r="E41" s="2">
        <f>D41</f>
        <v>81490.98</v>
      </c>
    </row>
    <row r="42" spans="3:5">
      <c r="C42" s="2">
        <v>37.82</v>
      </c>
      <c r="D42" s="2">
        <v>105876.76</v>
      </c>
      <c r="E42" s="2">
        <f>D42</f>
        <v>105876.76</v>
      </c>
    </row>
    <row r="43" spans="3:5">
      <c r="C43" s="4">
        <v>250</v>
      </c>
      <c r="D43" s="4"/>
      <c r="E43" s="4"/>
    </row>
    <row r="44" spans="3:5">
      <c r="C44" s="2">
        <f>SUM(C38:C43)</f>
        <v>45877.57</v>
      </c>
      <c r="D44" s="2">
        <f>SUM(D38:D43)</f>
        <v>13326294.060000001</v>
      </c>
      <c r="E44" s="2">
        <f>SUM(E38:E43)</f>
        <v>13598333.380000001</v>
      </c>
    </row>
    <row r="45" spans="3:5">
      <c r="C45" s="2"/>
      <c r="D45" s="2"/>
      <c r="E45" s="2"/>
    </row>
    <row r="46" spans="3:5">
      <c r="C46" s="2"/>
      <c r="D46" s="2">
        <f>D44-C44</f>
        <v>13280416.49</v>
      </c>
      <c r="E46" s="2">
        <f>E44-C44</f>
        <v>13552455.810000001</v>
      </c>
    </row>
    <row r="47" spans="3:5">
      <c r="C47" s="2"/>
      <c r="D47" s="4">
        <v>13552455.810000001</v>
      </c>
      <c r="E47" s="2"/>
    </row>
    <row r="48" spans="3:5">
      <c r="C48" s="6" t="s">
        <v>129</v>
      </c>
      <c r="D48" s="6">
        <f>D47-D46</f>
        <v>272039.3200000003</v>
      </c>
      <c r="E48" s="2"/>
    </row>
    <row r="49" spans="3:5">
      <c r="C49" s="2"/>
      <c r="D49" s="2"/>
      <c r="E49" s="2"/>
    </row>
    <row r="50" spans="3:5">
      <c r="C50" s="2"/>
      <c r="D50" s="2"/>
      <c r="E50" s="2"/>
    </row>
    <row r="51" spans="3:5">
      <c r="C51" s="2"/>
      <c r="D51" s="2"/>
      <c r="E51" s="2"/>
    </row>
    <row r="52" spans="3:5">
      <c r="C52" s="2"/>
      <c r="D52" s="2"/>
      <c r="E52" s="2"/>
    </row>
    <row r="53" spans="3:5">
      <c r="C53" s="2"/>
      <c r="D53" s="2"/>
      <c r="E53" s="2"/>
    </row>
    <row r="54" spans="3:5">
      <c r="C54" s="2"/>
      <c r="D54" s="2"/>
      <c r="E54" s="2"/>
    </row>
    <row r="55" spans="3:5">
      <c r="C55" s="2"/>
      <c r="D55" s="2"/>
      <c r="E55" s="2"/>
    </row>
    <row r="56" spans="3:5">
      <c r="C56" s="2"/>
      <c r="D56" s="2"/>
      <c r="E56" s="2"/>
    </row>
    <row r="57" spans="3:5">
      <c r="C57" s="2"/>
      <c r="D57" s="2"/>
      <c r="E57" s="2"/>
    </row>
    <row r="58" spans="3:5">
      <c r="C58" s="2"/>
      <c r="D58" s="2"/>
      <c r="E58" s="2"/>
    </row>
    <row r="59" spans="3:5">
      <c r="C59" s="2"/>
      <c r="D59" s="2"/>
      <c r="E59" s="2"/>
    </row>
    <row r="60" spans="3:5">
      <c r="C60" s="2"/>
      <c r="D60" s="2"/>
      <c r="E60" s="2"/>
    </row>
    <row r="61" spans="3:5">
      <c r="C61" s="2"/>
      <c r="D61" s="2"/>
      <c r="E61" s="2"/>
    </row>
    <row r="62" spans="3:5">
      <c r="C62" s="2"/>
      <c r="D62" s="2"/>
      <c r="E62" s="2"/>
    </row>
    <row r="63" spans="3:5">
      <c r="C63" s="2"/>
      <c r="D63" s="2"/>
      <c r="E63" s="2"/>
    </row>
    <row r="64" spans="3:5">
      <c r="C64" s="2"/>
      <c r="D64" s="2"/>
      <c r="E64" s="2"/>
    </row>
    <row r="65" spans="3:5">
      <c r="C65" s="2"/>
      <c r="D65" s="2"/>
      <c r="E65" s="2"/>
    </row>
    <row r="66" spans="3:5">
      <c r="C66" s="2"/>
      <c r="D66" s="2"/>
      <c r="E66" s="2"/>
    </row>
    <row r="67" spans="3:5">
      <c r="C67" s="2"/>
      <c r="D67" s="2"/>
      <c r="E67" s="2"/>
    </row>
    <row r="68" spans="3:5">
      <c r="C68" s="2"/>
      <c r="D68" s="2"/>
      <c r="E68" s="2"/>
    </row>
    <row r="69" spans="3:5">
      <c r="C69" s="2"/>
      <c r="D69" s="2"/>
      <c r="E69" s="2"/>
    </row>
    <row r="70" spans="3:5">
      <c r="C70" s="2"/>
      <c r="D70" s="2"/>
      <c r="E70" s="2"/>
    </row>
    <row r="71" spans="3:5">
      <c r="C71" s="2"/>
      <c r="D71" s="2"/>
      <c r="E71" s="2"/>
    </row>
    <row r="72" spans="3:5">
      <c r="C72" s="2"/>
      <c r="D72" s="2"/>
      <c r="E72" s="2"/>
    </row>
    <row r="73" spans="3:5">
      <c r="C73" s="2"/>
      <c r="D73" s="2"/>
      <c r="E73" s="2"/>
    </row>
    <row r="74" spans="3:5">
      <c r="C74" s="2"/>
      <c r="D74" s="2"/>
      <c r="E74" s="2"/>
    </row>
    <row r="75" spans="3:5">
      <c r="C75" s="2"/>
      <c r="D75" s="2"/>
      <c r="E75" s="2"/>
    </row>
    <row r="76" spans="3:5">
      <c r="C76" s="2"/>
      <c r="D76" s="2"/>
      <c r="E76" s="2"/>
    </row>
    <row r="77" spans="3:5">
      <c r="C77" s="2"/>
      <c r="D77" s="2"/>
      <c r="E77" s="2"/>
    </row>
    <row r="78" spans="3:5">
      <c r="C78" s="2"/>
      <c r="D78" s="2"/>
      <c r="E78" s="2"/>
    </row>
    <row r="79" spans="3:5">
      <c r="C79" s="2"/>
      <c r="D79" s="2"/>
      <c r="E79" s="2"/>
    </row>
    <row r="80" spans="3:5">
      <c r="C80" s="2"/>
      <c r="D80" s="2"/>
      <c r="E80" s="2"/>
    </row>
    <row r="81" spans="3:5">
      <c r="C81" s="2"/>
      <c r="D81" s="2"/>
      <c r="E81" s="2"/>
    </row>
    <row r="82" spans="3:5">
      <c r="C82" s="2"/>
      <c r="D82" s="2"/>
      <c r="E82" s="2"/>
    </row>
    <row r="83" spans="3:5">
      <c r="C83" s="2"/>
      <c r="D83" s="2"/>
      <c r="E83" s="2"/>
    </row>
    <row r="84" spans="3:5">
      <c r="C84" s="2"/>
      <c r="D84" s="2"/>
      <c r="E84" s="2"/>
    </row>
    <row r="85" spans="3:5">
      <c r="C85" s="2"/>
      <c r="D85" s="2"/>
      <c r="E85" s="2"/>
    </row>
    <row r="86" spans="3:5">
      <c r="C86" s="2"/>
      <c r="D86" s="2"/>
      <c r="E86" s="2"/>
    </row>
    <row r="87" spans="3:5">
      <c r="C87" s="2"/>
      <c r="D87" s="2"/>
      <c r="E87" s="2"/>
    </row>
    <row r="88" spans="3:5">
      <c r="C88" s="2"/>
      <c r="D88" s="2"/>
      <c r="E88" s="2"/>
    </row>
    <row r="89" spans="3:5">
      <c r="C89" s="2"/>
      <c r="D89" s="2"/>
      <c r="E89" s="2"/>
    </row>
    <row r="90" spans="3:5">
      <c r="C90" s="2"/>
      <c r="D90" s="2"/>
      <c r="E90" s="2"/>
    </row>
    <row r="91" spans="3:5">
      <c r="C91" s="2"/>
      <c r="D91" s="2"/>
      <c r="E91" s="2"/>
    </row>
    <row r="92" spans="3:5">
      <c r="C92" s="2"/>
      <c r="D92" s="2"/>
      <c r="E92" s="2"/>
    </row>
    <row r="93" spans="3:5">
      <c r="C93" s="2"/>
      <c r="D93" s="2"/>
      <c r="E93" s="2"/>
    </row>
    <row r="94" spans="3:5">
      <c r="C94" s="2"/>
      <c r="D94" s="2"/>
      <c r="E94" s="2"/>
    </row>
    <row r="95" spans="3:5">
      <c r="C95" s="2"/>
      <c r="D95" s="2"/>
      <c r="E95" s="2"/>
    </row>
    <row r="96" spans="3:5">
      <c r="C96" s="2"/>
      <c r="D96" s="2"/>
      <c r="E96" s="2"/>
    </row>
    <row r="97" spans="3:5">
      <c r="C97" s="2"/>
      <c r="D97" s="2"/>
      <c r="E97" s="2"/>
    </row>
    <row r="98" spans="3:5">
      <c r="C98" s="2"/>
      <c r="D98" s="2"/>
      <c r="E98" s="2"/>
    </row>
    <row r="99" spans="3:5">
      <c r="C99" s="2"/>
      <c r="D99" s="2"/>
      <c r="E99" s="2"/>
    </row>
    <row r="100" spans="3:5">
      <c r="C100" s="2"/>
      <c r="D100" s="2"/>
      <c r="E100" s="2"/>
    </row>
    <row r="101" spans="3:5">
      <c r="C101" s="2"/>
      <c r="D101" s="2"/>
      <c r="E101" s="2"/>
    </row>
    <row r="102" spans="3:5">
      <c r="C102" s="2"/>
      <c r="D102" s="2"/>
      <c r="E102" s="2"/>
    </row>
    <row r="103" spans="3:5">
      <c r="C103" s="2"/>
      <c r="D103" s="2"/>
      <c r="E103" s="2"/>
    </row>
    <row r="104" spans="3:5">
      <c r="C104" s="2"/>
      <c r="D104" s="2"/>
      <c r="E104" s="2"/>
    </row>
    <row r="105" spans="3:5">
      <c r="C105" s="2"/>
      <c r="D105" s="2"/>
      <c r="E105" s="2"/>
    </row>
    <row r="106" spans="3:5">
      <c r="C106" s="2"/>
      <c r="D106" s="2"/>
      <c r="E106" s="2"/>
    </row>
    <row r="107" spans="3:5">
      <c r="C107" s="2"/>
      <c r="D107" s="2"/>
      <c r="E107" s="2"/>
    </row>
    <row r="108" spans="3:5">
      <c r="C108" s="2"/>
      <c r="D108" s="2"/>
      <c r="E108" s="2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791B-E13B-4370-AF23-A55CA9191ACF}">
  <dimension ref="B1:K39"/>
  <sheetViews>
    <sheetView workbookViewId="0">
      <selection activeCell="F24" sqref="F24"/>
    </sheetView>
  </sheetViews>
  <sheetFormatPr defaultColWidth="8.7109375" defaultRowHeight="14.45"/>
  <cols>
    <col min="2" max="2" width="4.140625" bestFit="1" customWidth="1"/>
    <col min="3" max="3" width="68.7109375" bestFit="1" customWidth="1"/>
    <col min="4" max="4" width="13.7109375" bestFit="1" customWidth="1"/>
    <col min="5" max="5" width="4.42578125" customWidth="1"/>
    <col min="6" max="6" width="30.28515625" customWidth="1"/>
    <col min="7" max="9" width="14.7109375" customWidth="1"/>
  </cols>
  <sheetData>
    <row r="1" spans="2:11" ht="15">
      <c r="D1" s="40">
        <v>2</v>
      </c>
      <c r="K1" s="40">
        <v>6</v>
      </c>
    </row>
    <row r="2" spans="2:11">
      <c r="C2" s="11" t="s">
        <v>136</v>
      </c>
    </row>
    <row r="3" spans="2:11">
      <c r="D3" t="s">
        <v>137</v>
      </c>
      <c r="F3" s="41" t="s">
        <v>138</v>
      </c>
      <c r="G3" s="41"/>
      <c r="H3" s="41"/>
      <c r="I3" s="41"/>
    </row>
    <row r="4" spans="2:11">
      <c r="B4" t="s">
        <v>139</v>
      </c>
      <c r="C4" t="s">
        <v>140</v>
      </c>
      <c r="D4" s="2">
        <v>9100000</v>
      </c>
      <c r="F4" s="41" t="s">
        <v>141</v>
      </c>
      <c r="G4" s="41"/>
      <c r="H4" s="41"/>
      <c r="I4" s="41"/>
    </row>
    <row r="5" spans="2:11">
      <c r="B5" t="s">
        <v>142</v>
      </c>
      <c r="C5" t="s">
        <v>143</v>
      </c>
      <c r="D5" s="2">
        <v>3500000</v>
      </c>
    </row>
    <row r="6" spans="2:11">
      <c r="C6" t="s">
        <v>144</v>
      </c>
      <c r="D6" s="2">
        <v>230894.1</v>
      </c>
      <c r="F6" s="8" t="s">
        <v>145</v>
      </c>
      <c r="G6" s="8" t="s">
        <v>146</v>
      </c>
      <c r="H6" s="8" t="s">
        <v>147</v>
      </c>
      <c r="I6" s="8" t="s">
        <v>148</v>
      </c>
    </row>
    <row r="7" spans="2:11">
      <c r="C7" t="s">
        <v>149</v>
      </c>
      <c r="D7" s="2">
        <v>43700</v>
      </c>
      <c r="F7" t="s">
        <v>123</v>
      </c>
      <c r="G7" s="1">
        <f>D4</f>
        <v>9100000</v>
      </c>
      <c r="H7" s="1">
        <f>(G7/$G$11)*$H$11</f>
        <v>175812.96974547047</v>
      </c>
      <c r="I7" s="2">
        <f>(G7/$G$11)*$I$11</f>
        <v>33244.634279143509</v>
      </c>
    </row>
    <row r="8" spans="2:11" ht="15.6">
      <c r="B8" t="s">
        <v>150</v>
      </c>
      <c r="C8" t="s">
        <v>151</v>
      </c>
      <c r="D8" s="2">
        <v>1150000</v>
      </c>
      <c r="F8" t="s">
        <v>124</v>
      </c>
      <c r="G8" s="1">
        <f>D5</f>
        <v>3500000</v>
      </c>
      <c r="H8" s="1">
        <f>(G8/$G$11)*$H$11</f>
        <v>67620.372979027103</v>
      </c>
      <c r="I8" s="2">
        <f>(G8/$G$11)*$I$11</f>
        <v>12786.39779967058</v>
      </c>
      <c r="J8" s="39" t="s">
        <v>23</v>
      </c>
      <c r="K8" s="39" t="s">
        <v>23</v>
      </c>
    </row>
    <row r="9" spans="2:11" ht="15.6">
      <c r="C9" t="s">
        <v>64</v>
      </c>
      <c r="D9" s="2">
        <v>88405.08</v>
      </c>
      <c r="F9" t="s">
        <v>125</v>
      </c>
      <c r="G9" s="1">
        <f>D8</f>
        <v>1150000</v>
      </c>
      <c r="H9" s="1">
        <f>(G9/$G$11)*$H$11</f>
        <v>22218.122550251763</v>
      </c>
      <c r="I9" s="2">
        <f>(G9/$G$11)*$I$11</f>
        <v>4201.2449913203336</v>
      </c>
      <c r="J9" s="39" t="s">
        <v>23</v>
      </c>
      <c r="K9" s="39" t="s">
        <v>23</v>
      </c>
    </row>
    <row r="10" spans="2:11">
      <c r="C10" t="s">
        <v>152</v>
      </c>
      <c r="D10" s="4">
        <v>120876.76</v>
      </c>
      <c r="F10" t="s">
        <v>153</v>
      </c>
      <c r="G10" s="3">
        <f>D11-D4-D5-D8</f>
        <v>483875.93999999948</v>
      </c>
      <c r="H10" s="3">
        <f>(G10/$G$11)*$H$11</f>
        <v>9348.5347252506581</v>
      </c>
      <c r="I10" s="2">
        <f>(G10/$G$11)*$I$11</f>
        <v>1767.7229298655791</v>
      </c>
    </row>
    <row r="11" spans="2:11">
      <c r="D11" s="2">
        <f>SUM(D4:D10)</f>
        <v>14233875.939999999</v>
      </c>
      <c r="G11" s="9">
        <f>SUM(G7:G10)</f>
        <v>14233875.939999999</v>
      </c>
      <c r="H11" s="9">
        <v>275000</v>
      </c>
      <c r="I11" s="10">
        <v>52000</v>
      </c>
    </row>
    <row r="12" spans="2:11" ht="15.6">
      <c r="D12" s="39" t="s">
        <v>23</v>
      </c>
      <c r="G12" s="39" t="s">
        <v>23</v>
      </c>
      <c r="H12" s="39" t="s">
        <v>23</v>
      </c>
      <c r="I12" s="39" t="s">
        <v>23</v>
      </c>
    </row>
    <row r="13" spans="2:11" ht="28.9">
      <c r="C13" s="5" t="s">
        <v>154</v>
      </c>
      <c r="D13" s="39" t="s">
        <v>23</v>
      </c>
      <c r="G13" s="39" t="s">
        <v>23</v>
      </c>
    </row>
    <row r="14" spans="2:11">
      <c r="D14" s="2">
        <f>D11-150000</f>
        <v>14083875.939999999</v>
      </c>
    </row>
    <row r="15" spans="2:11" ht="15.6">
      <c r="D15" s="2">
        <f>D14/5000</f>
        <v>2816.7751880000001</v>
      </c>
      <c r="E15" s="39" t="s">
        <v>23</v>
      </c>
    </row>
    <row r="16" spans="2:11">
      <c r="D16" s="2"/>
    </row>
    <row r="17" spans="3:5">
      <c r="D17" s="2">
        <v>1000</v>
      </c>
    </row>
    <row r="18" spans="3:5">
      <c r="D18" s="4">
        <f>2816*275</f>
        <v>774400</v>
      </c>
    </row>
    <row r="19" spans="3:5">
      <c r="D19" s="2">
        <f>SUM(D17:D18)</f>
        <v>775400</v>
      </c>
    </row>
    <row r="20" spans="3:5">
      <c r="D20" s="4"/>
    </row>
    <row r="21" spans="3:5" ht="15.6">
      <c r="C21" t="s">
        <v>155</v>
      </c>
      <c r="D21" s="12">
        <v>275000</v>
      </c>
      <c r="E21" s="39" t="s">
        <v>23</v>
      </c>
    </row>
    <row r="22" spans="3:5">
      <c r="D22" s="2"/>
    </row>
    <row r="23" spans="3:5">
      <c r="D23" s="2"/>
    </row>
    <row r="24" spans="3:5">
      <c r="D24" s="2"/>
    </row>
    <row r="25" spans="3:5">
      <c r="D25" s="2"/>
    </row>
    <row r="26" spans="3:5">
      <c r="D26" s="2"/>
    </row>
    <row r="27" spans="3:5">
      <c r="D27" s="2"/>
    </row>
    <row r="28" spans="3:5">
      <c r="D28" s="2"/>
    </row>
    <row r="29" spans="3:5">
      <c r="D29" s="2"/>
    </row>
    <row r="30" spans="3:5">
      <c r="D30" s="2"/>
    </row>
    <row r="31" spans="3:5">
      <c r="D31" s="2"/>
    </row>
    <row r="32" spans="3:5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</sheetData>
  <mergeCells count="2">
    <mergeCell ref="F3:I3"/>
    <mergeCell ref="F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6C27-A8DA-4F31-9444-B214A8A5F502}">
  <dimension ref="B2:G51"/>
  <sheetViews>
    <sheetView workbookViewId="0">
      <selection activeCell="D7" sqref="D7"/>
    </sheetView>
  </sheetViews>
  <sheetFormatPr defaultColWidth="8.7109375" defaultRowHeight="14.45"/>
  <cols>
    <col min="2" max="2" width="68.7109375" bestFit="1" customWidth="1"/>
    <col min="3" max="3" width="11.28515625" bestFit="1" customWidth="1"/>
    <col min="5" max="5" width="12.7109375" bestFit="1" customWidth="1"/>
  </cols>
  <sheetData>
    <row r="2" spans="2:7">
      <c r="B2" s="41" t="s">
        <v>156</v>
      </c>
      <c r="C2" s="41"/>
      <c r="D2" s="41"/>
      <c r="E2" s="41"/>
      <c r="G2" s="40">
        <v>5</v>
      </c>
    </row>
    <row r="3" spans="2:7">
      <c r="B3" s="42" t="s">
        <v>157</v>
      </c>
      <c r="C3" s="42"/>
      <c r="D3" s="42"/>
      <c r="E3" s="42"/>
    </row>
    <row r="4" spans="2:7">
      <c r="C4" s="2"/>
      <c r="E4" s="2"/>
    </row>
    <row r="5" spans="2:7">
      <c r="B5" s="7" t="s">
        <v>158</v>
      </c>
      <c r="C5" s="2"/>
      <c r="E5" s="2"/>
    </row>
    <row r="6" spans="2:7">
      <c r="B6" t="s">
        <v>159</v>
      </c>
      <c r="C6" s="2"/>
      <c r="E6" s="14" t="s">
        <v>160</v>
      </c>
    </row>
    <row r="7" spans="2:7" ht="15.6">
      <c r="B7" t="s">
        <v>161</v>
      </c>
      <c r="C7" s="2">
        <f>0.03*9100000</f>
        <v>273000</v>
      </c>
      <c r="D7" s="39" t="s">
        <v>23</v>
      </c>
      <c r="E7" s="2">
        <f>(15/115)*9100000</f>
        <v>1186956.5217391304</v>
      </c>
    </row>
    <row r="8" spans="2:7" ht="15.6">
      <c r="B8" t="s">
        <v>162</v>
      </c>
      <c r="C8" s="4">
        <f>E7*0.15*0.03*-1</f>
        <v>-5341.3043478260861</v>
      </c>
      <c r="D8" s="39" t="s">
        <v>23</v>
      </c>
      <c r="E8" s="2"/>
    </row>
    <row r="9" spans="2:7">
      <c r="B9" t="s">
        <v>163</v>
      </c>
      <c r="C9" s="2">
        <f>SUM(C7:C8)</f>
        <v>267658.69565217389</v>
      </c>
      <c r="E9" s="2"/>
    </row>
    <row r="10" spans="2:7">
      <c r="B10" t="s">
        <v>164</v>
      </c>
      <c r="C10" s="4">
        <f>0.15*C9</f>
        <v>40148.804347826081</v>
      </c>
      <c r="E10" s="2"/>
    </row>
    <row r="11" spans="2:7">
      <c r="B11" t="s">
        <v>165</v>
      </c>
      <c r="C11" s="2">
        <f>SUM(C9:C10)</f>
        <v>307807.5</v>
      </c>
      <c r="E11" s="2"/>
    </row>
    <row r="12" spans="2:7">
      <c r="C12" s="2"/>
      <c r="E12" s="2"/>
    </row>
    <row r="13" spans="2:7">
      <c r="B13" s="7" t="s">
        <v>166</v>
      </c>
      <c r="C13" s="2"/>
      <c r="E13" s="2"/>
    </row>
    <row r="14" spans="2:7">
      <c r="B14" t="s">
        <v>167</v>
      </c>
      <c r="C14" s="2"/>
      <c r="E14" s="2"/>
    </row>
    <row r="15" spans="2:7" ht="15.6">
      <c r="B15" t="s">
        <v>168</v>
      </c>
      <c r="C15" s="2">
        <f>0.1*3500000</f>
        <v>350000</v>
      </c>
      <c r="D15" s="39" t="s">
        <v>23</v>
      </c>
      <c r="E15" s="2">
        <f>(15/115)*3500000</f>
        <v>456521.73913043475</v>
      </c>
    </row>
    <row r="16" spans="2:7" ht="15.6">
      <c r="B16" t="s">
        <v>169</v>
      </c>
      <c r="C16" s="4">
        <f>456521.74*-1*0.15*0.1</f>
        <v>-6847.8261000000002</v>
      </c>
      <c r="D16" s="39" t="s">
        <v>23</v>
      </c>
      <c r="E16" s="2"/>
    </row>
    <row r="17" spans="2:5">
      <c r="B17" t="s">
        <v>170</v>
      </c>
      <c r="C17" s="2">
        <f>SUM(C15:C16)</f>
        <v>343152.17389999999</v>
      </c>
      <c r="E17" s="2"/>
    </row>
    <row r="18" spans="2:5" ht="15.6">
      <c r="B18" t="s">
        <v>171</v>
      </c>
      <c r="C18" s="4">
        <f>C17*0.15</f>
        <v>51472.826085000001</v>
      </c>
      <c r="D18" s="39" t="s">
        <v>23</v>
      </c>
      <c r="E18" s="2"/>
    </row>
    <row r="19" spans="2:5" ht="15.6">
      <c r="B19" t="s">
        <v>172</v>
      </c>
      <c r="C19" s="2">
        <f>SUM(C17:C18)</f>
        <v>394624.999985</v>
      </c>
      <c r="D19" s="39" t="s">
        <v>23</v>
      </c>
      <c r="E19" s="2"/>
    </row>
    <row r="20" spans="2:5">
      <c r="C20" s="2"/>
      <c r="E20" s="2"/>
    </row>
    <row r="21" spans="2:5">
      <c r="B21" s="7" t="s">
        <v>173</v>
      </c>
    </row>
    <row r="22" spans="2:5">
      <c r="B22" t="s">
        <v>174</v>
      </c>
    </row>
    <row r="23" spans="2:5" ht="15.6">
      <c r="B23" t="s">
        <v>175</v>
      </c>
      <c r="C23" s="2">
        <f>1150000 *0.1</f>
        <v>115000</v>
      </c>
      <c r="D23" s="39" t="s">
        <v>23</v>
      </c>
      <c r="E23" s="1">
        <f>C23*(15/115)</f>
        <v>15000</v>
      </c>
    </row>
    <row r="24" spans="2:5" ht="15.6">
      <c r="B24" t="s">
        <v>176</v>
      </c>
      <c r="C24" s="4">
        <f>150000*0.15*0.1*-1</f>
        <v>-2250</v>
      </c>
      <c r="D24" s="39" t="s">
        <v>23</v>
      </c>
    </row>
    <row r="25" spans="2:5">
      <c r="C25" s="2">
        <f>SUM(C23:C24)</f>
        <v>112750</v>
      </c>
    </row>
    <row r="26" spans="2:5" ht="15.6">
      <c r="B26" t="s">
        <v>177</v>
      </c>
      <c r="C26" s="4">
        <f>0.15*C25</f>
        <v>16912.5</v>
      </c>
      <c r="D26" s="39" t="s">
        <v>23</v>
      </c>
    </row>
    <row r="27" spans="2:5" ht="15.6">
      <c r="B27" t="s">
        <v>172</v>
      </c>
      <c r="C27" s="2">
        <f>SUM(C25:C26)</f>
        <v>129662.5</v>
      </c>
      <c r="D27" s="39" t="s">
        <v>23</v>
      </c>
    </row>
    <row r="28" spans="2:5">
      <c r="C28" s="2"/>
    </row>
    <row r="29" spans="2:5">
      <c r="B29" s="7" t="s">
        <v>61</v>
      </c>
      <c r="C29" s="2"/>
    </row>
    <row r="30" spans="2:5">
      <c r="C30" s="2"/>
    </row>
    <row r="31" spans="2:5">
      <c r="B31" t="s">
        <v>144</v>
      </c>
      <c r="C31" s="2">
        <v>230894.1</v>
      </c>
    </row>
    <row r="32" spans="2:5">
      <c r="B32" t="s">
        <v>149</v>
      </c>
      <c r="C32" s="2">
        <v>43700</v>
      </c>
    </row>
    <row r="33" spans="2:5">
      <c r="B33" t="s">
        <v>152</v>
      </c>
      <c r="C33" s="4">
        <v>120876.76</v>
      </c>
    </row>
    <row r="34" spans="2:5">
      <c r="B34" t="s">
        <v>178</v>
      </c>
      <c r="C34" s="2">
        <f>SUM(C31:C33)</f>
        <v>395470.86</v>
      </c>
      <c r="E34" s="2">
        <f>C34*(15/115)</f>
        <v>51583.155652173911</v>
      </c>
    </row>
    <row r="35" spans="2:5">
      <c r="B35" t="s">
        <v>179</v>
      </c>
      <c r="C35" s="1">
        <f>0.1*C34</f>
        <v>39547.086000000003</v>
      </c>
    </row>
    <row r="36" spans="2:5">
      <c r="B36" t="s">
        <v>180</v>
      </c>
      <c r="C36" s="3">
        <f>E34*0.15*0.1*-1</f>
        <v>-773.74733478260862</v>
      </c>
    </row>
    <row r="37" spans="2:5">
      <c r="C37" s="1"/>
    </row>
    <row r="38" spans="2:5">
      <c r="C38" s="1">
        <f>SUM(C35:C36)</f>
        <v>38773.338665217394</v>
      </c>
    </row>
    <row r="39" spans="2:5">
      <c r="B39" t="s">
        <v>181</v>
      </c>
      <c r="C39" s="3">
        <f>0.15*C38</f>
        <v>5816.0007997826087</v>
      </c>
    </row>
    <row r="40" spans="2:5">
      <c r="B40" t="s">
        <v>165</v>
      </c>
      <c r="C40" s="1">
        <f>SUM(C38:C39)</f>
        <v>44589.339465000005</v>
      </c>
    </row>
    <row r="42" spans="2:5">
      <c r="B42" t="s">
        <v>64</v>
      </c>
      <c r="C42" s="2">
        <v>88405.08</v>
      </c>
      <c r="E42" s="2"/>
    </row>
    <row r="43" spans="2:5">
      <c r="B43" t="s">
        <v>182</v>
      </c>
      <c r="C43" s="2">
        <f>C42*0.1</f>
        <v>8840.5079999999998</v>
      </c>
      <c r="E43" s="2"/>
    </row>
    <row r="44" spans="2:5">
      <c r="B44" t="s">
        <v>183</v>
      </c>
      <c r="C44" s="13">
        <f>0.15*C43</f>
        <v>1326.0762</v>
      </c>
      <c r="E44" s="2"/>
    </row>
    <row r="45" spans="2:5">
      <c r="B45" t="s">
        <v>165</v>
      </c>
      <c r="C45" s="2">
        <f>C44+C43</f>
        <v>10166.584199999999</v>
      </c>
      <c r="E45" s="2"/>
    </row>
    <row r="46" spans="2:5">
      <c r="C46" s="4"/>
      <c r="E46" s="2"/>
    </row>
    <row r="47" spans="2:5">
      <c r="B47" t="s">
        <v>184</v>
      </c>
      <c r="C47" s="4">
        <f>C45+C40</f>
        <v>54755.923665000002</v>
      </c>
      <c r="E47" s="2"/>
    </row>
    <row r="48" spans="2:5">
      <c r="C48" s="10"/>
      <c r="E48" s="2"/>
    </row>
    <row r="49" spans="2:5">
      <c r="B49" s="7" t="s">
        <v>185</v>
      </c>
      <c r="C49" s="15">
        <f>C47+C27+C19+C11</f>
        <v>886850.92365000001</v>
      </c>
      <c r="E49" s="2"/>
    </row>
    <row r="50" spans="2:5">
      <c r="C50" s="2"/>
      <c r="E50" s="2"/>
    </row>
    <row r="51" spans="2:5">
      <c r="C51" s="2"/>
      <c r="E51" s="2"/>
    </row>
  </sheetData>
  <mergeCells count="2">
    <mergeCell ref="B3:E3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201C-6A0E-451A-82AA-510938B07D6F}">
  <dimension ref="B2:F11"/>
  <sheetViews>
    <sheetView workbookViewId="0">
      <selection activeCell="F9" sqref="F9"/>
    </sheetView>
  </sheetViews>
  <sheetFormatPr defaultColWidth="8.7109375" defaultRowHeight="14.45"/>
  <cols>
    <col min="1" max="1" width="6.140625" customWidth="1"/>
    <col min="2" max="2" width="29.7109375" customWidth="1"/>
    <col min="3" max="4" width="13.7109375" customWidth="1"/>
  </cols>
  <sheetData>
    <row r="2" spans="2:6">
      <c r="B2" s="41" t="s">
        <v>186</v>
      </c>
      <c r="C2" s="41"/>
      <c r="D2" s="41"/>
      <c r="F2" s="40">
        <v>3</v>
      </c>
    </row>
    <row r="3" spans="2:6">
      <c r="B3" s="41" t="s">
        <v>187</v>
      </c>
      <c r="C3" s="41"/>
      <c r="D3" s="41"/>
    </row>
    <row r="5" spans="2:6" ht="28.9">
      <c r="B5" s="8" t="s">
        <v>145</v>
      </c>
      <c r="C5" s="16" t="s">
        <v>146</v>
      </c>
      <c r="D5" s="16" t="s">
        <v>188</v>
      </c>
    </row>
    <row r="6" spans="2:6">
      <c r="B6" t="s">
        <v>123</v>
      </c>
      <c r="C6" s="4">
        <f>'Schedule A'!D4</f>
        <v>9100000</v>
      </c>
      <c r="D6" s="4">
        <v>425000</v>
      </c>
    </row>
    <row r="7" spans="2:6">
      <c r="C7" s="1">
        <f>C6</f>
        <v>9100000</v>
      </c>
      <c r="D7" s="1">
        <f>D6</f>
        <v>425000</v>
      </c>
    </row>
    <row r="9" spans="2:6" ht="15.6">
      <c r="B9" t="s">
        <v>124</v>
      </c>
      <c r="C9" s="2">
        <f>'Schedule A'!G8</f>
        <v>3500000</v>
      </c>
      <c r="D9" s="2">
        <f>(C9/$C$11)*$D$11</f>
        <v>32563.412579911575</v>
      </c>
      <c r="E9" s="39" t="s">
        <v>23</v>
      </c>
      <c r="F9" s="39" t="s">
        <v>23</v>
      </c>
    </row>
    <row r="10" spans="2:6" ht="15.6">
      <c r="B10" t="s">
        <v>153</v>
      </c>
      <c r="C10" s="4">
        <f>'Schedule A'!D6+'Schedule A'!D7</f>
        <v>274594.09999999998</v>
      </c>
      <c r="D10" s="4">
        <f>(C10/$C$11)*$D$11</f>
        <v>2554.7774200884273</v>
      </c>
      <c r="E10" s="39" t="s">
        <v>23</v>
      </c>
      <c r="F10" s="39" t="s">
        <v>23</v>
      </c>
    </row>
    <row r="11" spans="2:6" ht="15.6">
      <c r="C11" s="2">
        <f>SUM(C9:C10)</f>
        <v>3774594.1</v>
      </c>
      <c r="D11" s="2">
        <v>35118.19</v>
      </c>
      <c r="E11" s="39" t="s">
        <v>23</v>
      </c>
      <c r="F11" s="39" t="s">
        <v>23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E14D-04B1-41F8-9ADC-777DA6C40E1C}">
  <dimension ref="B1:G11"/>
  <sheetViews>
    <sheetView workbookViewId="0">
      <selection activeCell="J6" sqref="J6"/>
    </sheetView>
  </sheetViews>
  <sheetFormatPr defaultColWidth="8.7109375" defaultRowHeight="14.45"/>
  <cols>
    <col min="2" max="2" width="24.42578125" bestFit="1" customWidth="1"/>
    <col min="3" max="3" width="12.7109375" bestFit="1" customWidth="1"/>
    <col min="4" max="4" width="11.28515625" bestFit="1" customWidth="1"/>
    <col min="5" max="5" width="27.140625" bestFit="1" customWidth="1"/>
  </cols>
  <sheetData>
    <row r="1" spans="2:7">
      <c r="G1" s="40">
        <v>3</v>
      </c>
    </row>
    <row r="2" spans="2:7">
      <c r="B2" s="41" t="s">
        <v>189</v>
      </c>
      <c r="C2" s="41"/>
      <c r="D2" s="41"/>
      <c r="E2" s="41"/>
    </row>
    <row r="3" spans="2:7">
      <c r="B3" s="41" t="s">
        <v>190</v>
      </c>
      <c r="C3" s="41"/>
      <c r="D3" s="41"/>
      <c r="E3" s="41"/>
    </row>
    <row r="5" spans="2:7">
      <c r="B5" s="23" t="s">
        <v>145</v>
      </c>
      <c r="C5" s="23" t="s">
        <v>191</v>
      </c>
      <c r="D5" s="23" t="s">
        <v>192</v>
      </c>
      <c r="E5" s="23" t="s">
        <v>193</v>
      </c>
    </row>
    <row r="6" spans="2:7">
      <c r="B6" t="s">
        <v>123</v>
      </c>
      <c r="C6" s="1">
        <f>Accounts!C8</f>
        <v>1186956.5217391304</v>
      </c>
      <c r="D6" s="1">
        <f>SUM(Accounts!C12:C15)</f>
        <v>-99919.843601627421</v>
      </c>
      <c r="E6" s="1">
        <f>C6+D6</f>
        <v>1087036.6781375029</v>
      </c>
    </row>
    <row r="7" spans="2:7" ht="15.6">
      <c r="B7" t="s">
        <v>124</v>
      </c>
      <c r="C7" s="1">
        <f>Accounts!C32</f>
        <v>456521.73913043475</v>
      </c>
      <c r="D7" s="1">
        <f>SUM(Accounts!C36:C39)</f>
        <v>-61120.119177988978</v>
      </c>
      <c r="E7" s="1">
        <f>C7+D7</f>
        <v>395401.61995244579</v>
      </c>
      <c r="F7" s="39" t="s">
        <v>23</v>
      </c>
    </row>
    <row r="8" spans="2:7" ht="15.6">
      <c r="B8" t="s">
        <v>125</v>
      </c>
      <c r="C8" s="1">
        <f>Accounts!C59</f>
        <v>150000</v>
      </c>
      <c r="D8" s="1">
        <f>SUM(Accounts!C63:C64)</f>
        <v>-17460.48847712874</v>
      </c>
      <c r="E8" s="1">
        <f>C8+D8</f>
        <v>132539.51152287127</v>
      </c>
      <c r="F8" s="39" t="s">
        <v>23</v>
      </c>
    </row>
    <row r="9" spans="2:7">
      <c r="B9" t="s">
        <v>153</v>
      </c>
      <c r="C9" s="3">
        <f>SUM(Accounts!C82:C85)</f>
        <v>51583.155652173911</v>
      </c>
      <c r="D9" s="3">
        <f>SUM(Accounts!C88:C101)</f>
        <v>-11359.293132385304</v>
      </c>
      <c r="E9" s="3">
        <f>C9+D9</f>
        <v>40223.862519788607</v>
      </c>
    </row>
    <row r="10" spans="2:7" ht="15.6">
      <c r="B10" s="17" t="s">
        <v>46</v>
      </c>
      <c r="C10" s="1">
        <f>SUM(C6:C9)</f>
        <v>1845061.4165217392</v>
      </c>
      <c r="D10" s="1">
        <f>SUM(D6:D9)</f>
        <v>-189859.74438913044</v>
      </c>
      <c r="E10" s="1">
        <f>SUM(E6:E9)</f>
        <v>1655201.6721326085</v>
      </c>
      <c r="F10" s="39" t="s">
        <v>23</v>
      </c>
      <c r="G10" s="39" t="s">
        <v>23</v>
      </c>
    </row>
    <row r="11" spans="2:7" ht="15.6">
      <c r="C11" s="39" t="s">
        <v>23</v>
      </c>
      <c r="D11" s="39" t="s">
        <v>23</v>
      </c>
    </row>
  </sheetData>
  <mergeCells count="2">
    <mergeCell ref="B3:E3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A34A91-F0B0-4516-A86B-6499DAA6D2D0}"/>
</file>

<file path=customXml/itemProps2.xml><?xml version="1.0" encoding="utf-8"?>
<ds:datastoreItem xmlns:ds="http://schemas.openxmlformats.org/officeDocument/2006/customXml" ds:itemID="{DD988A3D-7B7B-4876-9E44-8BD4DDF5DB6F}"/>
</file>

<file path=customXml/itemProps3.xml><?xml version="1.0" encoding="utf-8"?>
<ds:datastoreItem xmlns:ds="http://schemas.openxmlformats.org/officeDocument/2006/customXml" ds:itemID="{913EBD3E-92CA-49AD-A56D-546D99DC2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Whitaker</dc:creator>
  <cp:keywords/>
  <dc:description/>
  <cp:lastModifiedBy>Brenda Bennett</cp:lastModifiedBy>
  <cp:revision/>
  <dcterms:created xsi:type="dcterms:W3CDTF">2023-11-28T15:13:51Z</dcterms:created>
  <dcterms:modified xsi:type="dcterms:W3CDTF">2023-12-12T10:44:24Z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