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hardb\Documents\SARIPA\2023\Exam\Marked\"/>
    </mc:Choice>
  </mc:AlternateContent>
  <xr:revisionPtr revIDLastSave="6" documentId="13_ncr:1_{B2579D95-C643-4A1D-93AF-AE6CF58689F0}" xr6:coauthVersionLast="47" xr6:coauthVersionMax="47" xr10:uidLastSave="{C88B138A-8242-4A37-A7BF-5626DC9344FF}"/>
  <bookViews>
    <workbookView xWindow="-108" yWindow="-108" windowWidth="23256" windowHeight="12576" xr2:uid="{448B4AE6-EB1D-41E9-878B-666F82CBEE63}"/>
  </bookViews>
  <sheets>
    <sheet name="Encumbered Asset Account 1" sheetId="1" r:id="rId1"/>
    <sheet name="Encumbered Asset Account 2" sheetId="2" r:id="rId2"/>
    <sheet name="Encumbered Asset Account 3" sheetId="3" r:id="rId3"/>
    <sheet name="Free Residue Account" sheetId="4" r:id="rId4"/>
    <sheet name="Calculation Schedules" sheetId="6" r:id="rId5"/>
    <sheet name="Distribution Account" sheetId="5" r:id="rId6"/>
    <sheet name="Bank Reconciliation Statement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7" l="1"/>
  <c r="E36" i="7" s="1"/>
  <c r="D16" i="7"/>
  <c r="H54" i="4"/>
  <c r="I10" i="5"/>
  <c r="D31" i="7" s="1"/>
  <c r="F10" i="5"/>
  <c r="D10" i="5"/>
  <c r="H14" i="5"/>
  <c r="H13" i="5"/>
  <c r="H11" i="5"/>
  <c r="H8" i="5"/>
  <c r="I12" i="5"/>
  <c r="D32" i="7" s="1"/>
  <c r="F12" i="5"/>
  <c r="I15" i="5"/>
  <c r="D33" i="7" s="1"/>
  <c r="F15" i="5"/>
  <c r="D15" i="5"/>
  <c r="G43" i="4"/>
  <c r="G42" i="4"/>
  <c r="D12" i="5"/>
  <c r="K12" i="4"/>
  <c r="G34" i="3"/>
  <c r="D6" i="5"/>
  <c r="E6" i="5" s="1"/>
  <c r="D29" i="3"/>
  <c r="D30" i="3" s="1"/>
  <c r="D9" i="5" s="1"/>
  <c r="G36" i="2"/>
  <c r="D31" i="2"/>
  <c r="D32" i="2" s="1"/>
  <c r="D7" i="5" s="1"/>
  <c r="G35" i="1"/>
  <c r="F28" i="4"/>
  <c r="F30" i="4"/>
  <c r="F29" i="4"/>
  <c r="F27" i="4"/>
  <c r="F26" i="4"/>
  <c r="F25" i="4"/>
  <c r="F24" i="4"/>
  <c r="F21" i="4"/>
  <c r="E20" i="2"/>
  <c r="E20" i="1"/>
  <c r="D79" i="6"/>
  <c r="D78" i="6"/>
  <c r="D57" i="6"/>
  <c r="F57" i="6" s="1"/>
  <c r="F49" i="6"/>
  <c r="F33" i="6"/>
  <c r="F41" i="6"/>
  <c r="F68" i="6"/>
  <c r="F69" i="6" s="1"/>
  <c r="F70" i="6" s="1"/>
  <c r="G19" i="4" s="1"/>
  <c r="F19" i="4" s="1"/>
  <c r="F9" i="4"/>
  <c r="E11" i="3"/>
  <c r="F22" i="6"/>
  <c r="F23" i="6" s="1"/>
  <c r="D11" i="6"/>
  <c r="D12" i="6" s="1"/>
  <c r="F8" i="6" s="1"/>
  <c r="F18" i="1" s="1"/>
  <c r="E18" i="1" s="1"/>
  <c r="F12" i="4"/>
  <c r="F11" i="4"/>
  <c r="F10" i="4"/>
  <c r="E11" i="2"/>
  <c r="E12" i="1"/>
  <c r="D34" i="6" s="1"/>
  <c r="F34" i="6" s="1"/>
  <c r="D42" i="6" l="1"/>
  <c r="F42" i="6" s="1"/>
  <c r="D89" i="6"/>
  <c r="D50" i="6"/>
  <c r="F50" i="6" s="1"/>
  <c r="D90" i="6"/>
  <c r="D91" i="6"/>
  <c r="D80" i="6"/>
  <c r="F78" i="6" s="1"/>
  <c r="F19" i="2" s="1"/>
  <c r="E19" i="2" s="1"/>
  <c r="H15" i="5"/>
  <c r="H12" i="5"/>
  <c r="D17" i="5"/>
  <c r="F79" i="6"/>
  <c r="F17" i="5"/>
  <c r="D58" i="6"/>
  <c r="F58" i="6" s="1"/>
  <c r="F59" i="6" s="1"/>
  <c r="D88" i="6"/>
  <c r="F35" i="6"/>
  <c r="F51" i="6"/>
  <c r="F43" i="6"/>
  <c r="E11" i="6"/>
  <c r="G16" i="4" s="1"/>
  <c r="E8" i="6"/>
  <c r="E9" i="6"/>
  <c r="F16" i="2" s="1"/>
  <c r="E10" i="6"/>
  <c r="F16" i="3" s="1"/>
  <c r="F9" i="6"/>
  <c r="F17" i="2" s="1"/>
  <c r="E17" i="2" s="1"/>
  <c r="F10" i="6"/>
  <c r="F17" i="3" s="1"/>
  <c r="E17" i="3" s="1"/>
  <c r="D18" i="6"/>
  <c r="D20" i="6" s="1"/>
  <c r="D21" i="6" s="1"/>
  <c r="F11" i="6"/>
  <c r="G17" i="4" s="1"/>
  <c r="F80" i="6" l="1"/>
  <c r="G20" i="4"/>
  <c r="D92" i="6"/>
  <c r="F44" i="6"/>
  <c r="F45" i="6" s="1"/>
  <c r="F18" i="2" s="1"/>
  <c r="F52" i="6"/>
  <c r="F53" i="6" s="1"/>
  <c r="F18" i="3" s="1"/>
  <c r="F60" i="6"/>
  <c r="F61" i="6" s="1"/>
  <c r="G18" i="4" s="1"/>
  <c r="F18" i="4" s="1"/>
  <c r="F36" i="6"/>
  <c r="F37" i="6" s="1"/>
  <c r="F17" i="4"/>
  <c r="E12" i="6"/>
  <c r="F17" i="1"/>
  <c r="F12" i="6"/>
  <c r="F20" i="4" l="1"/>
  <c r="D21" i="7"/>
  <c r="F19" i="1"/>
  <c r="E19" i="1" s="1"/>
  <c r="I62" i="6"/>
  <c r="D17" i="7" s="1"/>
  <c r="E91" i="6"/>
  <c r="F91" i="6" s="1"/>
  <c r="G32" i="4"/>
  <c r="G34" i="4" s="1"/>
  <c r="E88" i="6"/>
  <c r="F23" i="1"/>
  <c r="F25" i="1" s="1"/>
  <c r="E18" i="3"/>
  <c r="E18" i="2"/>
  <c r="F22" i="2" l="1"/>
  <c r="F24" i="2" s="1"/>
  <c r="E89" i="6"/>
  <c r="F89" i="6" s="1"/>
  <c r="E51" i="4"/>
  <c r="G51" i="4"/>
  <c r="G54" i="4" s="1"/>
  <c r="F20" i="3"/>
  <c r="F22" i="3" s="1"/>
  <c r="D24" i="3" s="1"/>
  <c r="D32" i="3" s="1"/>
  <c r="H9" i="5" s="1"/>
  <c r="E90" i="6"/>
  <c r="F90" i="6" s="1"/>
  <c r="E36" i="4"/>
  <c r="D26" i="2"/>
  <c r="D34" i="2" s="1"/>
  <c r="H7" i="5" s="1"/>
  <c r="F28" i="2"/>
  <c r="E7" i="5" s="1"/>
  <c r="D27" i="1"/>
  <c r="F30" i="1"/>
  <c r="I6" i="5" s="1"/>
  <c r="D26" i="7" s="1"/>
  <c r="E92" i="6"/>
  <c r="F88" i="6"/>
  <c r="F92" i="6" s="1"/>
  <c r="D20" i="7" s="1"/>
  <c r="K19" i="5" l="1"/>
  <c r="F27" i="3"/>
  <c r="F34" i="3" s="1"/>
  <c r="F35" i="1"/>
  <c r="I7" i="5"/>
  <c r="D27" i="7" s="1"/>
  <c r="F36" i="2"/>
  <c r="H17" i="5"/>
  <c r="E19" i="5" l="1"/>
  <c r="K7" i="5"/>
  <c r="K9" i="5"/>
  <c r="E9" i="5"/>
  <c r="E17" i="5" s="1"/>
  <c r="I9" i="5"/>
  <c r="K14" i="5"/>
  <c r="K13" i="5"/>
  <c r="K11" i="5"/>
  <c r="K6" i="5"/>
  <c r="K8" i="5"/>
  <c r="K10" i="5"/>
  <c r="K12" i="5"/>
  <c r="K15" i="5"/>
  <c r="K17" i="5" l="1"/>
  <c r="D35" i="7" s="1"/>
  <c r="I17" i="5"/>
  <c r="D28" i="7"/>
  <c r="D36" i="7" s="1"/>
</calcChain>
</file>

<file path=xl/sharedStrings.xml><?xml version="1.0" encoding="utf-8"?>
<sst xmlns="http://schemas.openxmlformats.org/spreadsheetml/2006/main" count="433" uniqueCount="178">
  <si>
    <t>202324-1147.Paper2Summative</t>
  </si>
  <si>
    <t>TOTAL = 74.5</t>
  </si>
  <si>
    <r>
      <rPr>
        <b/>
        <sz val="11"/>
        <rFont val="Calibri"/>
        <family val="2"/>
        <scheme val="minor"/>
      </rPr>
      <t>ValleyGrove Farms</t>
    </r>
    <r>
      <rPr>
        <b/>
        <sz val="11"/>
        <color theme="1"/>
        <rFont val="Calibri"/>
        <family val="2"/>
        <scheme val="minor"/>
      </rPr>
      <t xml:space="preserve"> (Pty) Ltd (In Liquidation)</t>
    </r>
  </si>
  <si>
    <t>ENCUMBERED ASSET ACCOUNT 1</t>
  </si>
  <si>
    <t>PROCEEDS OF PORTION 8 OF THE FARM “VALLEYGROVE”, STELLENBOSCH, WESTERN CAPE, SUBJECT TO FIRST MORTGAGE BOND IN FAVOUR OF CREDITOR NO.1,CAPITAL BANK LTD</t>
  </si>
  <si>
    <t>Ϟ</t>
  </si>
  <si>
    <t>NARRATION</t>
  </si>
  <si>
    <t>Calcs</t>
  </si>
  <si>
    <t>VAT</t>
  </si>
  <si>
    <t>PAYMENTS</t>
  </si>
  <si>
    <t>RECEIPTS</t>
  </si>
  <si>
    <t>Receipts</t>
  </si>
  <si>
    <t>Proceeds of Portion 8 of the farm “ValleyGrove”, Stellenbosch, Western Cape, sold by public auction by Hastings Auctions</t>
  </si>
  <si>
    <t>Payments</t>
  </si>
  <si>
    <t>Master’s fees, pro rata portion as per Schedule A</t>
  </si>
  <si>
    <t>GuardianSure Bonds Ltd, pro rata bond of security premium as per Schedule A</t>
  </si>
  <si>
    <t>Liquidator’s fees: as per Schedule B</t>
  </si>
  <si>
    <t>Hastings Auctioneers: auctioneer’s fees</t>
  </si>
  <si>
    <t>Western Province Municipality, rates and taxes:
- Arrear amounts owing up to date of liquidation and amount(s) paid by liquidator up to date of transfer</t>
  </si>
  <si>
    <t>VAT Payable to SARS</t>
  </si>
  <si>
    <t>Total Payments</t>
  </si>
  <si>
    <t>Balance</t>
  </si>
  <si>
    <t>Balance awarded as follows:</t>
  </si>
  <si>
    <t>Capital Bank Ltd, for 1st mortgage bond over the property:</t>
  </si>
  <si>
    <t>Capital</t>
  </si>
  <si>
    <t>Interest calculation is unnecessary as creditor has relied on its security and the balance is insufficient to pay capital claim.</t>
  </si>
  <si>
    <t>TOTALS</t>
  </si>
  <si>
    <t>ENCUMBERED ASSET ACCOUNT 2</t>
  </si>
  <si>
    <t>PROCEEDS OF PROCEEDS OF THE BOTTLING PLANT AND EQUIPMENT (SOLD EX SITU), SUBJECT TO A REGISTERED SPECIAL NOTARIAL BOND IN FAVOUR OF CREDITOR NO.2, HARVEST FINANCE LTD</t>
  </si>
  <si>
    <r>
      <t xml:space="preserve">Proceeds of the bottling plant and equipment (sold </t>
    </r>
    <r>
      <rPr>
        <i/>
        <sz val="11"/>
        <color theme="1"/>
        <rFont val="Calibri"/>
        <family val="2"/>
        <scheme val="minor"/>
      </rPr>
      <t>ex situ</t>
    </r>
    <r>
      <rPr>
        <sz val="11"/>
        <color theme="1"/>
        <rFont val="Calibri"/>
        <family val="2"/>
        <scheme val="minor"/>
      </rPr>
      <t>) sold by public auction by Hastings Auctions</t>
    </r>
  </si>
  <si>
    <t>Hastings Auctioneers: pro rata portion of auctioneer’s fees as per Schedule D</t>
  </si>
  <si>
    <t>GrapeFlow Bottling Solutions, for repairs to bottling plant prior to it being sold by public auction</t>
  </si>
  <si>
    <t>Harvest Finance Ltd, for special notarial bond over the property:</t>
  </si>
  <si>
    <t>Plus Interest @16.5% from 05/09/2022 to 19/03/2023 - 194days</t>
  </si>
  <si>
    <r>
      <t xml:space="preserve">Balance of claim is concurrent as creditor has no relied on security - </t>
    </r>
    <r>
      <rPr>
        <i/>
        <sz val="11"/>
        <color theme="1"/>
        <rFont val="Calibri"/>
        <family val="2"/>
        <scheme val="minor"/>
      </rPr>
      <t>Singer v the Master</t>
    </r>
  </si>
  <si>
    <t>ENCUMBERED ASSET ACCOUNT 3</t>
  </si>
  <si>
    <t>PROCEEDS OF PROCEEDS OF THE 2019 SELF-PROPELLED GRAPE HARVESTER, REGISTRATION NUMBER CA9090, SUBJECT TO AN INSTALMENT SALE TRANSACTION IN FAVOUR OF CREDITOR NO.4, AFRITECH FINANCE</t>
  </si>
  <si>
    <t>Proceeds of the 2019 self-propelled Grape Harvester, registration number CA9090 sold by private treaty</t>
  </si>
  <si>
    <t>AfriTech Finance, for Instalment Sale transaction over the property:</t>
  </si>
  <si>
    <t>Plus Interest @18.75% from 05/09/2022 to 19/03/2023 - 194days</t>
  </si>
  <si>
    <t>Balance of claim is concurrent as creditor has no relied on security  - Singer v the Master</t>
  </si>
  <si>
    <t>FREE RESIDUE ACCOUNT</t>
  </si>
  <si>
    <t>Calc</t>
  </si>
  <si>
    <t>Proceeds of the inventory of bottled wines sold by public auction by Hastings Auctions</t>
  </si>
  <si>
    <t>Proceeds of the misscellaneous movable assets and office equipment of the farm sold by public auction by Hastings Auctions</t>
  </si>
  <si>
    <t>Proceeds of book debts collected by Sithole &amp; Partners Attorneys</t>
  </si>
  <si>
    <t>Proceeds of Stella Valley Cabernet grapes sold privately to the local Co-op market</t>
  </si>
  <si>
    <t>Side Calc 1:</t>
  </si>
  <si>
    <t>Liquidator’s fees: as per ScheduleC</t>
  </si>
  <si>
    <t>Horizon Attorneys: application for liquidation</t>
  </si>
  <si>
    <t>Wages: Labour cost for harvesting of grapes</t>
  </si>
  <si>
    <t>Advertisement costs:</t>
  </si>
  <si>
    <t>Second (general) meeting</t>
  </si>
  <si>
    <t>Inspection</t>
  </si>
  <si>
    <t>Confirmation</t>
  </si>
  <si>
    <t>Destruction of books and records</t>
  </si>
  <si>
    <t>Trust Bank Ltd: bank charges</t>
  </si>
  <si>
    <t>Postage and Petties</t>
  </si>
  <si>
    <t>Sithole &amp; Partners: Collection fees</t>
  </si>
  <si>
    <t>Statutory Preferent Creditors:</t>
  </si>
  <si>
    <t>98A</t>
  </si>
  <si>
    <t>EE's - Order of claims specific to Ees</t>
  </si>
  <si>
    <t>Thabo Moeng  (Creditor 7) and Sindiwe Mthembu (Creditor 10) s98A</t>
  </si>
  <si>
    <t>Thabo</t>
  </si>
  <si>
    <t>Sindiwe</t>
  </si>
  <si>
    <t>VAT and Other Taxes</t>
  </si>
  <si>
    <t>Arrear salary</t>
  </si>
  <si>
    <t>Income Tax to SARS</t>
  </si>
  <si>
    <t>Leave pay</t>
  </si>
  <si>
    <t>GNB</t>
  </si>
  <si>
    <t>Concurrent Creditors</t>
  </si>
  <si>
    <t>David Smith - director - No s98A preference, therefore claim is concurrent [s98A(6)]</t>
  </si>
  <si>
    <t>Maria Ndlovu - director - No s98A preference, therefore claim is concurrent [s98A(6)]</t>
  </si>
  <si>
    <t>SARS:</t>
  </si>
  <si>
    <t>s99 - VAT</t>
  </si>
  <si>
    <t>s101 - Income tax</t>
  </si>
  <si>
    <t>Balance carried over to Concurrent Creditors</t>
  </si>
  <si>
    <r>
      <t xml:space="preserve">Dividend of </t>
    </r>
    <r>
      <rPr>
        <b/>
        <sz val="11"/>
        <rFont val="Calibri"/>
        <family val="2"/>
        <scheme val="minor"/>
      </rPr>
      <t>10.1511</t>
    </r>
    <r>
      <rPr>
        <sz val="11"/>
        <color theme="1"/>
        <rFont val="Calibri"/>
        <family val="2"/>
        <scheme val="minor"/>
      </rPr>
      <t xml:space="preserve"> cents in the Rand</t>
    </r>
  </si>
  <si>
    <t>Notes</t>
  </si>
  <si>
    <t>SCHEDULE A</t>
  </si>
  <si>
    <t>Pro-rata apportionment of Master's fees and Bond of security premium</t>
  </si>
  <si>
    <t>Account</t>
  </si>
  <si>
    <t>GROSS PROCEEDS</t>
  </si>
  <si>
    <t>MASTER'S FEE *</t>
  </si>
  <si>
    <t>BOND PREMIUM</t>
  </si>
  <si>
    <t>(Bond premium total cost)</t>
  </si>
  <si>
    <t>Encumbered Asset Account 1</t>
  </si>
  <si>
    <t>Encumbered Asset Account 2</t>
  </si>
  <si>
    <t>Encumbered Asset Account 3</t>
  </si>
  <si>
    <t>Free Residue Account</t>
  </si>
  <si>
    <t>From Free Residue Account - Side calc 1</t>
  </si>
  <si>
    <t>MASTER'S FEE CALCULATION</t>
  </si>
  <si>
    <t>Gross Value of Estate (per schedule A)</t>
  </si>
  <si>
    <t>Less:</t>
  </si>
  <si>
    <t>Divide by R5000</t>
  </si>
  <si>
    <t>Therefore (2816 xR275)</t>
  </si>
  <si>
    <t>Total</t>
  </si>
  <si>
    <t>Master's fee limited to a maximum of R275 001</t>
  </si>
  <si>
    <t>Master's fee is</t>
  </si>
  <si>
    <t>*</t>
  </si>
  <si>
    <t>SCHEDULE B</t>
  </si>
  <si>
    <t>Calculation of Liquidator's Remuneration in accordance with Spendiff decision</t>
  </si>
  <si>
    <t>Immovable property</t>
  </si>
  <si>
    <r>
      <t xml:space="preserve">Fee @ </t>
    </r>
    <r>
      <rPr>
        <sz val="11"/>
        <rFont val="Calibri"/>
        <family val="2"/>
        <scheme val="minor"/>
      </rPr>
      <t>3%</t>
    </r>
  </si>
  <si>
    <t>Less</t>
  </si>
  <si>
    <t>Total fee XXX</t>
  </si>
  <si>
    <t>Plus VAT @15%</t>
  </si>
  <si>
    <t>TOTAL Fee incl VAT</t>
  </si>
  <si>
    <t>Movable property</t>
  </si>
  <si>
    <t>Fee @ 10%</t>
  </si>
  <si>
    <t>Inventory (bottled wines), other movable assets and office equipment, and Stella Valley Cabernet Grapes</t>
  </si>
  <si>
    <t>SCHEDULE C</t>
  </si>
  <si>
    <t>Calculation of Liquidator's Remuneration. Spendiff decision Not Applicable</t>
  </si>
  <si>
    <t>Free Residue Account - Spendiff decision Not Applicable</t>
  </si>
  <si>
    <t>Book Debts</t>
  </si>
  <si>
    <t>SCHEDULE D</t>
  </si>
  <si>
    <t>Pro-rata apportionment of Auctioneer's Commission</t>
  </si>
  <si>
    <t>AUCTIONEER'S COMMISSION</t>
  </si>
  <si>
    <t>Bottled Wines and Other movable assets and Office equipment only</t>
  </si>
  <si>
    <t>SCHEDULE E</t>
  </si>
  <si>
    <t>VAT SCHEDULE</t>
  </si>
  <si>
    <t>OUTPUT VAT</t>
  </si>
  <si>
    <t>(INPUT VAT)</t>
  </si>
  <si>
    <t>VAT PAY/(REFUND)</t>
  </si>
  <si>
    <t>DISTRIBUTION ACCOUNT - LIST A:</t>
  </si>
  <si>
    <t>#</t>
  </si>
  <si>
    <t>CREDITOR NAME</t>
  </si>
  <si>
    <t>TOTAL CLAIM</t>
  </si>
  <si>
    <t>SECURED CLAIM</t>
  </si>
  <si>
    <t>STAUTORY PREFERENT CLAIM</t>
  </si>
  <si>
    <t>&lt;&lt;&lt;&lt;Reason for Statutory Preferent Creditor</t>
  </si>
  <si>
    <t>CONCURRENT CLAIM</t>
  </si>
  <si>
    <t>SECURED/STATUTORY PREFERENT AWARD</t>
  </si>
  <si>
    <t>&lt;&lt;&lt;&lt;&lt;&lt;&lt;&lt;Source</t>
  </si>
  <si>
    <t>CONCURRENT AWARD</t>
  </si>
  <si>
    <t>Capital Bank Ltd</t>
  </si>
  <si>
    <t>N/A</t>
  </si>
  <si>
    <t>E/A Acc 1</t>
  </si>
  <si>
    <t>Harvest Finance Ltd</t>
  </si>
  <si>
    <t>E/A Acc 2</t>
  </si>
  <si>
    <t>Vinetech Supplies Ltd</t>
  </si>
  <si>
    <t>AgriTech Finance</t>
  </si>
  <si>
    <t>E/A Acc 3</t>
  </si>
  <si>
    <t>SARS</t>
  </si>
  <si>
    <t>s99, s101</t>
  </si>
  <si>
    <t>Free Residue</t>
  </si>
  <si>
    <t>Winecraft Essentials Ltd</t>
  </si>
  <si>
    <t>Thabo Moeng</t>
  </si>
  <si>
    <t>Salary s98A, leave s98A</t>
  </si>
  <si>
    <t>David Smith</t>
  </si>
  <si>
    <t>s98A(6) exclusion</t>
  </si>
  <si>
    <t>Maria Ndlovu</t>
  </si>
  <si>
    <t>Sindiwe Mthembu</t>
  </si>
  <si>
    <t>Salary s98A</t>
  </si>
  <si>
    <t>TOTAL</t>
  </si>
  <si>
    <r>
      <t xml:space="preserve">Concurrent Dividend of </t>
    </r>
    <r>
      <rPr>
        <b/>
        <sz val="11"/>
        <rFont val="Calibri"/>
        <family val="2"/>
        <scheme val="minor"/>
      </rPr>
      <t>10.1511</t>
    </r>
    <r>
      <rPr>
        <sz val="11"/>
        <color theme="1"/>
        <rFont val="Calibri"/>
        <family val="2"/>
        <scheme val="minor"/>
      </rPr>
      <t xml:space="preserve"> cents in the Rand</t>
    </r>
  </si>
  <si>
    <t>Calculation</t>
  </si>
  <si>
    <t>Balance for Concurrent Creditors (Free Residue)</t>
  </si>
  <si>
    <t>List B (R0)</t>
  </si>
  <si>
    <t>BANK RECONCILIATION STATEMENT</t>
  </si>
  <si>
    <t>Balance as per bank statement as at date of drafting the account</t>
  </si>
  <si>
    <t>ADD:</t>
  </si>
  <si>
    <t>Oustanding deposit - Hastings Auction of bottled wines and other movables and office equipment</t>
  </si>
  <si>
    <t>PAYMENTS STILL TO BE MADE:</t>
  </si>
  <si>
    <t>Bond premium (provision for renewal)</t>
  </si>
  <si>
    <t>Master's fee</t>
  </si>
  <si>
    <t>Liquidator's Remuneration</t>
  </si>
  <si>
    <t>Advertising (Provision - Destruction)</t>
  </si>
  <si>
    <t>Bank Charges</t>
  </si>
  <si>
    <t>SARS - VAT</t>
  </si>
  <si>
    <t>Auction fees</t>
  </si>
  <si>
    <t>AWARDS TO CREDITORS STILL TO BE MADE:</t>
  </si>
  <si>
    <t>Encumbered asset account 1 (Creditor 1)</t>
  </si>
  <si>
    <t>Encumbered asset account 2 (Creditor 2)</t>
  </si>
  <si>
    <t>Encumbered asset account 3 (Creditor 4)</t>
  </si>
  <si>
    <t>Creditor 5</t>
  </si>
  <si>
    <t>Creditor 7</t>
  </si>
  <si>
    <t>Creditor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</si>
</sst>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R-1C09]#,##0.00"/>
    <numFmt numFmtId="165" formatCode="0.000000"/>
  </numFmts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2" fillId="0" borderId="1" xfId="0" applyFon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2" fillId="0" borderId="4" xfId="0" applyFont="1" applyBorder="1"/>
    <xf numFmtId="0" fontId="0" fillId="0" borderId="7" xfId="0" applyBorder="1"/>
    <xf numFmtId="0" fontId="3" fillId="0" borderId="10" xfId="0" applyFont="1" applyBorder="1"/>
    <xf numFmtId="0" fontId="0" fillId="0" borderId="11" xfId="0" applyBorder="1"/>
    <xf numFmtId="0" fontId="4" fillId="0" borderId="11" xfId="0" applyFont="1" applyBorder="1"/>
    <xf numFmtId="0" fontId="2" fillId="0" borderId="11" xfId="0" applyFont="1" applyBorder="1" applyAlignment="1">
      <alignment horizontal="right"/>
    </xf>
    <xf numFmtId="0" fontId="0" fillId="0" borderId="12" xfId="0" applyBorder="1"/>
    <xf numFmtId="164" fontId="3" fillId="0" borderId="10" xfId="0" applyNumberFormat="1" applyFont="1" applyBorder="1" applyAlignment="1">
      <alignment horizontal="center"/>
    </xf>
    <xf numFmtId="164" fontId="0" fillId="0" borderId="11" xfId="0" applyNumberForma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164" fontId="0" fillId="0" borderId="12" xfId="0" applyNumberFormat="1" applyBorder="1"/>
    <xf numFmtId="0" fontId="3" fillId="0" borderId="11" xfId="0" applyFont="1" applyBorder="1"/>
    <xf numFmtId="0" fontId="1" fillId="0" borderId="0" xfId="0" applyFont="1"/>
    <xf numFmtId="164" fontId="0" fillId="0" borderId="4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3" fillId="0" borderId="5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2" xfId="0" applyBorder="1"/>
    <xf numFmtId="0" fontId="2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/>
    <xf numFmtId="164" fontId="1" fillId="0" borderId="11" xfId="0" applyNumberFormat="1" applyFont="1" applyBorder="1"/>
    <xf numFmtId="164" fontId="1" fillId="0" borderId="11" xfId="0" quotePrefix="1" applyNumberFormat="1" applyFont="1" applyBorder="1" applyAlignment="1">
      <alignment horizontal="right"/>
    </xf>
    <xf numFmtId="0" fontId="3" fillId="2" borderId="24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8" fillId="0" borderId="11" xfId="0" applyFont="1" applyBorder="1"/>
    <xf numFmtId="0" fontId="7" fillId="0" borderId="4" xfId="0" applyFont="1" applyBorder="1"/>
    <xf numFmtId="0" fontId="2" fillId="0" borderId="29" xfId="0" applyFont="1" applyBorder="1"/>
    <xf numFmtId="164" fontId="0" fillId="0" borderId="31" xfId="0" applyNumberFormat="1" applyBorder="1"/>
    <xf numFmtId="164" fontId="2" fillId="0" borderId="11" xfId="0" applyNumberFormat="1" applyFon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0" fontId="7" fillId="0" borderId="11" xfId="0" applyFont="1" applyBorder="1"/>
    <xf numFmtId="9" fontId="0" fillId="0" borderId="0" xfId="2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2" fillId="0" borderId="7" xfId="0" applyFont="1" applyBorder="1" applyAlignment="1">
      <alignment horizontal="right"/>
    </xf>
    <xf numFmtId="9" fontId="0" fillId="0" borderId="11" xfId="2" applyFon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7" fillId="0" borderId="11" xfId="0" applyFont="1" applyBorder="1" applyAlignment="1">
      <alignment wrapText="1"/>
    </xf>
    <xf numFmtId="0" fontId="2" fillId="0" borderId="11" xfId="0" applyFont="1" applyBorder="1"/>
    <xf numFmtId="0" fontId="2" fillId="0" borderId="2" xfId="0" applyFont="1" applyBorder="1"/>
    <xf numFmtId="0" fontId="0" fillId="0" borderId="8" xfId="0" applyBorder="1"/>
    <xf numFmtId="0" fontId="4" fillId="0" borderId="4" xfId="0" applyFont="1" applyBorder="1"/>
    <xf numFmtId="0" fontId="0" fillId="0" borderId="4" xfId="0" applyBorder="1" applyAlignment="1">
      <alignment wrapText="1"/>
    </xf>
    <xf numFmtId="0" fontId="8" fillId="0" borderId="4" xfId="0" applyFont="1" applyBorder="1"/>
    <xf numFmtId="0" fontId="1" fillId="0" borderId="4" xfId="0" applyFont="1" applyBorder="1"/>
    <xf numFmtId="0" fontId="2" fillId="0" borderId="4" xfId="0" applyFont="1" applyBorder="1" applyAlignment="1">
      <alignment horizontal="right"/>
    </xf>
    <xf numFmtId="164" fontId="8" fillId="0" borderId="11" xfId="0" applyNumberFormat="1" applyFont="1" applyBorder="1"/>
    <xf numFmtId="0" fontId="1" fillId="0" borderId="1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164" fontId="0" fillId="0" borderId="34" xfId="0" applyNumberFormat="1" applyBorder="1"/>
    <xf numFmtId="0" fontId="3" fillId="0" borderId="4" xfId="0" applyFont="1" applyBorder="1" applyAlignment="1">
      <alignment horizontal="center"/>
    </xf>
    <xf numFmtId="0" fontId="2" fillId="0" borderId="18" xfId="0" applyFont="1" applyBorder="1"/>
    <xf numFmtId="0" fontId="2" fillId="0" borderId="16" xfId="0" applyFont="1" applyBorder="1"/>
    <xf numFmtId="0" fontId="2" fillId="0" borderId="35" xfId="0" applyFont="1" applyBorder="1" applyAlignment="1">
      <alignment horizontal="right"/>
    </xf>
    <xf numFmtId="0" fontId="0" fillId="0" borderId="36" xfId="0" applyBorder="1"/>
    <xf numFmtId="0" fontId="2" fillId="0" borderId="38" xfId="0" applyFont="1" applyBorder="1"/>
    <xf numFmtId="0" fontId="0" fillId="0" borderId="1" xfId="0" applyBorder="1"/>
    <xf numFmtId="0" fontId="0" fillId="0" borderId="3" xfId="0" applyBorder="1"/>
    <xf numFmtId="164" fontId="0" fillId="0" borderId="28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9" xfId="0" applyNumberForma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21" xfId="0" applyNumberFormat="1" applyBorder="1"/>
    <xf numFmtId="164" fontId="0" fillId="0" borderId="26" xfId="0" applyNumberFormat="1" applyBorder="1"/>
    <xf numFmtId="164" fontId="0" fillId="0" borderId="22" xfId="0" applyNumberFormat="1" applyBorder="1"/>
    <xf numFmtId="164" fontId="0" fillId="0" borderId="38" xfId="0" applyNumberFormat="1" applyBorder="1"/>
    <xf numFmtId="164" fontId="0" fillId="0" borderId="39" xfId="0" applyNumberFormat="1" applyBorder="1"/>
    <xf numFmtId="164" fontId="2" fillId="0" borderId="7" xfId="0" applyNumberFormat="1" applyFont="1" applyBorder="1"/>
    <xf numFmtId="0" fontId="10" fillId="0" borderId="24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64" fontId="0" fillId="0" borderId="16" xfId="0" applyNumberFormat="1" applyBorder="1" applyAlignment="1">
      <alignment wrapText="1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0" fontId="3" fillId="0" borderId="11" xfId="0" applyFont="1" applyBorder="1" applyAlignment="1">
      <alignment horizontal="center"/>
    </xf>
    <xf numFmtId="164" fontId="2" fillId="0" borderId="37" xfId="0" applyNumberFormat="1" applyFont="1" applyBorder="1"/>
    <xf numFmtId="0" fontId="0" fillId="0" borderId="29" xfId="0" applyBorder="1" applyAlignment="1">
      <alignment horizontal="right"/>
    </xf>
    <xf numFmtId="165" fontId="0" fillId="0" borderId="31" xfId="0" applyNumberFormat="1" applyBorder="1"/>
    <xf numFmtId="0" fontId="8" fillId="0" borderId="0" xfId="0" applyFont="1"/>
    <xf numFmtId="0" fontId="0" fillId="0" borderId="29" xfId="0" applyBorder="1" applyAlignment="1">
      <alignment wrapText="1"/>
    </xf>
    <xf numFmtId="43" fontId="0" fillId="0" borderId="31" xfId="1" applyFont="1" applyBorder="1"/>
    <xf numFmtId="0" fontId="3" fillId="0" borderId="25" xfId="0" applyFont="1" applyBorder="1" applyAlignment="1">
      <alignment horizontal="center" wrapText="1"/>
    </xf>
    <xf numFmtId="43" fontId="0" fillId="0" borderId="4" xfId="1" applyFont="1" applyBorder="1" applyAlignment="1">
      <alignment horizontal="right"/>
    </xf>
    <xf numFmtId="0" fontId="0" fillId="0" borderId="5" xfId="0" applyBorder="1" applyAlignment="1">
      <alignment horizontal="left"/>
    </xf>
    <xf numFmtId="0" fontId="3" fillId="0" borderId="5" xfId="0" applyFont="1" applyBorder="1"/>
    <xf numFmtId="0" fontId="1" fillId="0" borderId="5" xfId="0" applyFont="1" applyBorder="1"/>
    <xf numFmtId="0" fontId="0" fillId="0" borderId="9" xfId="0" applyBorder="1"/>
    <xf numFmtId="0" fontId="7" fillId="0" borderId="1" xfId="0" applyFont="1" applyBorder="1"/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9" fontId="11" fillId="0" borderId="0" xfId="0" applyNumberFormat="1" applyFont="1"/>
    <xf numFmtId="49" fontId="12" fillId="0" borderId="0" xfId="0" applyNumberFormat="1" applyFont="1"/>
    <xf numFmtId="0" fontId="12" fillId="0" borderId="0" xfId="0" applyFont="1"/>
    <xf numFmtId="164" fontId="3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right"/>
    </xf>
    <xf numFmtId="0" fontId="7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/>
    <xf numFmtId="164" fontId="14" fillId="0" borderId="0" xfId="0" applyNumberFormat="1" applyFont="1"/>
    <xf numFmtId="0" fontId="0" fillId="0" borderId="0" xfId="0" applyAlignment="1"/>
    <xf numFmtId="0" fontId="0" fillId="0" borderId="5" xfId="0" applyBorder="1" applyAlignment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DA313-6216-4019-813C-E75E07553E6A}">
  <dimension ref="C1:I36"/>
  <sheetViews>
    <sheetView tabSelected="1" zoomScale="110" zoomScaleNormal="110" workbookViewId="0">
      <selection activeCell="F2" sqref="F2"/>
    </sheetView>
  </sheetViews>
  <sheetFormatPr defaultColWidth="8.7109375" defaultRowHeight="14.45"/>
  <cols>
    <col min="3" max="3" width="52.7109375" customWidth="1"/>
    <col min="4" max="4" width="18.140625" customWidth="1"/>
    <col min="5" max="6" width="19.140625" style="3" customWidth="1"/>
    <col min="7" max="7" width="17.28515625" style="3" customWidth="1"/>
    <col min="9" max="9" width="12.28515625" bestFit="1" customWidth="1"/>
  </cols>
  <sheetData>
    <row r="1" spans="3:9" ht="15">
      <c r="C1" t="s">
        <v>0</v>
      </c>
      <c r="E1" s="163" t="s">
        <v>1</v>
      </c>
    </row>
    <row r="3" spans="3:9">
      <c r="C3" s="1" t="s">
        <v>2</v>
      </c>
      <c r="D3" s="1"/>
      <c r="G3" s="150">
        <v>9</v>
      </c>
    </row>
    <row r="4" spans="3:9" ht="15" thickBot="1"/>
    <row r="5" spans="3:9">
      <c r="C5" s="13" t="s">
        <v>3</v>
      </c>
      <c r="D5" s="92"/>
      <c r="E5" s="14"/>
      <c r="F5" s="14"/>
      <c r="G5" s="15"/>
    </row>
    <row r="6" spans="3:9">
      <c r="C6" s="16"/>
      <c r="G6" s="5"/>
    </row>
    <row r="7" spans="3:9" ht="36.4" customHeight="1">
      <c r="C7" s="154" t="s">
        <v>4</v>
      </c>
      <c r="D7" s="155"/>
      <c r="E7" s="156"/>
      <c r="F7" s="156"/>
      <c r="G7" s="157"/>
      <c r="H7" s="149" t="s">
        <v>5</v>
      </c>
      <c r="I7" s="149" t="s">
        <v>5</v>
      </c>
    </row>
    <row r="8" spans="3:9" ht="15" thickBot="1">
      <c r="C8" s="18"/>
      <c r="D8" s="93"/>
      <c r="E8" s="9"/>
      <c r="F8" s="9"/>
      <c r="G8" s="10"/>
    </row>
    <row r="9" spans="3:9" s="2" customFormat="1">
      <c r="C9" s="19" t="s">
        <v>6</v>
      </c>
      <c r="D9" s="106" t="s">
        <v>7</v>
      </c>
      <c r="E9" s="11" t="s">
        <v>8</v>
      </c>
      <c r="F9" s="24" t="s">
        <v>9</v>
      </c>
      <c r="G9" s="12" t="s">
        <v>10</v>
      </c>
    </row>
    <row r="10" spans="3:9">
      <c r="C10" s="20"/>
      <c r="D10" s="16"/>
      <c r="E10" s="4"/>
      <c r="F10" s="25"/>
      <c r="G10" s="5"/>
    </row>
    <row r="11" spans="3:9">
      <c r="C11" s="21" t="s">
        <v>11</v>
      </c>
      <c r="D11" s="94"/>
      <c r="E11" s="4"/>
      <c r="F11" s="25"/>
      <c r="G11" s="5"/>
    </row>
    <row r="12" spans="3:9" ht="43.15">
      <c r="C12" s="64" t="s">
        <v>12</v>
      </c>
      <c r="D12" s="95"/>
      <c r="E12" s="4">
        <f>G12*15/115</f>
        <v>1186956.5217391304</v>
      </c>
      <c r="F12" s="149" t="s">
        <v>5</v>
      </c>
      <c r="G12" s="5">
        <v>9100000</v>
      </c>
    </row>
    <row r="13" spans="3:9">
      <c r="C13" s="20"/>
      <c r="D13" s="16"/>
      <c r="E13" s="4"/>
      <c r="F13" s="25"/>
      <c r="G13" s="5"/>
    </row>
    <row r="14" spans="3:9">
      <c r="C14" s="20"/>
      <c r="D14" s="16"/>
      <c r="E14" s="4"/>
      <c r="F14" s="25"/>
      <c r="G14" s="5"/>
    </row>
    <row r="15" spans="3:9">
      <c r="C15" s="20"/>
      <c r="D15" s="16"/>
      <c r="E15" s="4"/>
      <c r="F15" s="25"/>
      <c r="G15" s="5"/>
    </row>
    <row r="16" spans="3:9">
      <c r="C16" s="21" t="s">
        <v>13</v>
      </c>
      <c r="D16" s="94"/>
      <c r="E16" s="4"/>
      <c r="F16" s="25"/>
      <c r="G16" s="5"/>
    </row>
    <row r="17" spans="3:9" ht="15.6">
      <c r="C17" s="20" t="s">
        <v>14</v>
      </c>
      <c r="D17" s="149" t="s">
        <v>5</v>
      </c>
      <c r="E17" s="4">
        <v>0</v>
      </c>
      <c r="F17" s="25">
        <f>'Calculation Schedules'!E8</f>
        <v>175812.96974547047</v>
      </c>
      <c r="G17" s="149" t="s">
        <v>5</v>
      </c>
    </row>
    <row r="18" spans="3:9" ht="28.9">
      <c r="C18" s="64" t="s">
        <v>15</v>
      </c>
      <c r="D18" s="149" t="s">
        <v>5</v>
      </c>
      <c r="E18" s="4">
        <f>F18*15/115</f>
        <v>4336.2566451056746</v>
      </c>
      <c r="F18" s="25">
        <f>'Calculation Schedules'!F8</f>
        <v>33244.634279143509</v>
      </c>
      <c r="G18" s="149" t="s">
        <v>5</v>
      </c>
    </row>
    <row r="19" spans="3:9" ht="15.6">
      <c r="C19" s="20" t="s">
        <v>16</v>
      </c>
      <c r="D19" s="149" t="s">
        <v>5</v>
      </c>
      <c r="E19" s="4">
        <f>F19*15/115</f>
        <v>40148.804347826088</v>
      </c>
      <c r="F19" s="25">
        <f>'Calculation Schedules'!F37</f>
        <v>307807.5</v>
      </c>
      <c r="G19" s="149" t="s">
        <v>5</v>
      </c>
      <c r="I19" s="3"/>
    </row>
    <row r="20" spans="3:9" ht="15.6">
      <c r="C20" s="64" t="s">
        <v>17</v>
      </c>
      <c r="D20" s="149" t="s">
        <v>5</v>
      </c>
      <c r="E20" s="4">
        <f>F20*15/115</f>
        <v>55434.782608695656</v>
      </c>
      <c r="F20" s="25">
        <v>425000</v>
      </c>
      <c r="G20" s="149" t="s">
        <v>5</v>
      </c>
    </row>
    <row r="21" spans="3:9" ht="43.15">
      <c r="C21" s="64" t="s">
        <v>18</v>
      </c>
      <c r="D21" s="95"/>
      <c r="E21" s="149" t="s">
        <v>5</v>
      </c>
      <c r="F21" s="25">
        <v>124897.5</v>
      </c>
      <c r="G21" s="149" t="s">
        <v>5</v>
      </c>
    </row>
    <row r="22" spans="3:9">
      <c r="C22" s="20"/>
      <c r="D22" s="16"/>
      <c r="E22" s="4"/>
      <c r="F22" s="25"/>
      <c r="G22" s="5"/>
    </row>
    <row r="23" spans="3:9" ht="15.6">
      <c r="C23" s="65" t="s">
        <v>19</v>
      </c>
      <c r="D23" s="96"/>
      <c r="E23" s="4"/>
      <c r="F23" s="25">
        <f>E12-SUM(E17:E21)</f>
        <v>1087036.6781375029</v>
      </c>
      <c r="G23" s="149" t="s">
        <v>5</v>
      </c>
    </row>
    <row r="24" spans="3:9">
      <c r="C24" s="56"/>
      <c r="D24" s="97"/>
      <c r="E24" s="4"/>
      <c r="F24" s="57"/>
      <c r="G24" s="5"/>
    </row>
    <row r="25" spans="3:9">
      <c r="C25" s="22" t="s">
        <v>20</v>
      </c>
      <c r="D25" s="98"/>
      <c r="E25" s="4"/>
      <c r="F25" s="26">
        <f>SUM(F17:F23)</f>
        <v>2153799.2821621168</v>
      </c>
      <c r="G25" s="5"/>
    </row>
    <row r="26" spans="3:9">
      <c r="C26" s="20"/>
      <c r="D26" s="16"/>
      <c r="E26" s="4"/>
      <c r="F26" s="25"/>
      <c r="G26" s="5"/>
    </row>
    <row r="27" spans="3:9">
      <c r="C27" s="20" t="s">
        <v>21</v>
      </c>
      <c r="D27" s="4">
        <f>G12-F25</f>
        <v>6946200.7178378832</v>
      </c>
      <c r="E27" s="4"/>
      <c r="F27" s="25"/>
      <c r="G27" s="5"/>
    </row>
    <row r="28" spans="3:9">
      <c r="C28" s="20"/>
      <c r="D28" s="16"/>
      <c r="E28" s="4"/>
      <c r="F28" s="25"/>
      <c r="G28" s="5"/>
    </row>
    <row r="29" spans="3:9">
      <c r="C29" s="91" t="s">
        <v>22</v>
      </c>
      <c r="D29" s="16"/>
      <c r="E29" s="4"/>
      <c r="F29" s="25"/>
      <c r="G29" s="5"/>
    </row>
    <row r="30" spans="3:9">
      <c r="C30" s="20" t="s">
        <v>23</v>
      </c>
      <c r="D30" s="4"/>
      <c r="E30" s="4"/>
      <c r="F30" s="25">
        <f>G12-F25</f>
        <v>6946200.7178378832</v>
      </c>
      <c r="G30" s="5"/>
    </row>
    <row r="31" spans="3:9">
      <c r="C31" s="20" t="s">
        <v>24</v>
      </c>
      <c r="D31" s="4">
        <v>8946765.3200000003</v>
      </c>
      <c r="E31" s="4"/>
      <c r="F31" s="25"/>
      <c r="G31" s="5"/>
    </row>
    <row r="32" spans="3:9" ht="28.9">
      <c r="C32" s="64" t="s">
        <v>25</v>
      </c>
      <c r="D32" s="149" t="s">
        <v>5</v>
      </c>
      <c r="E32" s="4"/>
      <c r="F32" s="25"/>
      <c r="G32" s="5"/>
    </row>
    <row r="33" spans="3:7" ht="15.6">
      <c r="C33" s="149" t="s">
        <v>5</v>
      </c>
      <c r="D33" s="149" t="s">
        <v>5</v>
      </c>
      <c r="E33" s="4"/>
      <c r="F33" s="25"/>
      <c r="G33" s="5"/>
    </row>
    <row r="34" spans="3:7" ht="15.6">
      <c r="C34" s="149" t="s">
        <v>5</v>
      </c>
      <c r="D34" s="16"/>
      <c r="E34" s="4"/>
      <c r="F34" s="25"/>
      <c r="G34" s="5"/>
    </row>
    <row r="35" spans="3:7" ht="15" thickBot="1">
      <c r="C35" s="22" t="s">
        <v>26</v>
      </c>
      <c r="D35" s="98"/>
      <c r="E35" s="6"/>
      <c r="F35" s="27">
        <f>SUM(F25:F34)</f>
        <v>9100000</v>
      </c>
      <c r="G35" s="27">
        <f>SUM(G11:G34)</f>
        <v>9100000</v>
      </c>
    </row>
    <row r="36" spans="3:7" ht="15" thickBot="1">
      <c r="C36" s="23"/>
      <c r="D36" s="18"/>
      <c r="E36" s="8"/>
      <c r="F36" s="28"/>
      <c r="G36" s="10"/>
    </row>
  </sheetData>
  <mergeCells count="1">
    <mergeCell ref="C7:G7"/>
  </mergeCells>
  <pageMargins left="0.7" right="0.7" top="0.75" bottom="0.75" header="0.3" footer="0.3"/>
  <headerFooter>
    <oddFooter xml:space="preserve">&amp;R_x000D_&amp;1#&amp;"Arial"&amp;8&amp;K000000 Internal Use Only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D9F80-73DB-4195-A0ED-C1CC27A4BD89}">
  <dimension ref="C1:J37"/>
  <sheetViews>
    <sheetView zoomScale="110" zoomScaleNormal="110" workbookViewId="0">
      <selection activeCell="I2" sqref="I2"/>
    </sheetView>
  </sheetViews>
  <sheetFormatPr defaultColWidth="8.7109375" defaultRowHeight="14.45"/>
  <cols>
    <col min="3" max="3" width="52.7109375" customWidth="1"/>
    <col min="4" max="4" width="17.7109375" customWidth="1"/>
    <col min="5" max="6" width="19.140625" style="3" customWidth="1"/>
    <col min="7" max="7" width="17.28515625" style="3" customWidth="1"/>
    <col min="10" max="10" width="12.28515625" bestFit="1" customWidth="1"/>
  </cols>
  <sheetData>
    <row r="1" spans="3:10">
      <c r="C1" t="s">
        <v>0</v>
      </c>
    </row>
    <row r="2" spans="3:10" ht="15">
      <c r="I2" s="162">
        <v>11</v>
      </c>
    </row>
    <row r="3" spans="3:10" ht="15" thickBot="1"/>
    <row r="4" spans="3:10">
      <c r="C4" s="13" t="s">
        <v>27</v>
      </c>
      <c r="D4" s="92"/>
      <c r="E4" s="14"/>
      <c r="F4" s="14"/>
      <c r="G4" s="15"/>
    </row>
    <row r="5" spans="3:10">
      <c r="C5" s="16"/>
      <c r="G5" s="5"/>
    </row>
    <row r="6" spans="3:10" ht="29.65" customHeight="1">
      <c r="C6" s="158" t="s">
        <v>28</v>
      </c>
      <c r="D6" s="159"/>
      <c r="E6" s="164"/>
      <c r="F6" s="164"/>
      <c r="G6" s="165"/>
      <c r="H6" s="149" t="s">
        <v>5</v>
      </c>
      <c r="I6" s="149" t="s">
        <v>5</v>
      </c>
    </row>
    <row r="7" spans="3:10" ht="15" thickBot="1">
      <c r="C7" s="18"/>
      <c r="D7" s="93"/>
      <c r="E7" s="9"/>
      <c r="F7" s="9"/>
      <c r="G7" s="10"/>
    </row>
    <row r="8" spans="3:10" s="2" customFormat="1">
      <c r="C8" s="19" t="s">
        <v>6</v>
      </c>
      <c r="D8" s="106" t="s">
        <v>7</v>
      </c>
      <c r="E8" s="11" t="s">
        <v>8</v>
      </c>
      <c r="F8" s="24" t="s">
        <v>9</v>
      </c>
      <c r="G8" s="12" t="s">
        <v>10</v>
      </c>
    </row>
    <row r="9" spans="3:10">
      <c r="C9" s="20"/>
      <c r="D9" s="16"/>
      <c r="E9" s="4"/>
      <c r="F9" s="25"/>
      <c r="G9" s="5"/>
    </row>
    <row r="10" spans="3:10">
      <c r="C10" s="21" t="s">
        <v>11</v>
      </c>
      <c r="D10" s="94"/>
      <c r="E10" s="4"/>
      <c r="F10" s="25"/>
      <c r="G10" s="5"/>
    </row>
    <row r="11" spans="3:10" ht="28.9">
      <c r="C11" s="64" t="s">
        <v>29</v>
      </c>
      <c r="D11" s="95"/>
      <c r="E11" s="4">
        <f>G11*15/115</f>
        <v>456521.73913043475</v>
      </c>
      <c r="F11" s="149" t="s">
        <v>5</v>
      </c>
      <c r="G11" s="5">
        <v>3500000</v>
      </c>
      <c r="J11" s="3"/>
    </row>
    <row r="12" spans="3:10">
      <c r="C12" s="20"/>
      <c r="D12" s="16"/>
      <c r="E12" s="4"/>
      <c r="F12" s="25"/>
      <c r="G12" s="5"/>
      <c r="J12" s="3"/>
    </row>
    <row r="13" spans="3:10">
      <c r="C13" s="20"/>
      <c r="D13" s="16"/>
      <c r="E13" s="4"/>
      <c r="F13" s="25"/>
      <c r="G13" s="5"/>
      <c r="J13" s="3"/>
    </row>
    <row r="14" spans="3:10">
      <c r="C14" s="20"/>
      <c r="D14" s="16"/>
      <c r="E14" s="4"/>
      <c r="F14" s="25"/>
      <c r="G14" s="5"/>
      <c r="J14" s="3"/>
    </row>
    <row r="15" spans="3:10">
      <c r="C15" s="21" t="s">
        <v>13</v>
      </c>
      <c r="D15" s="94"/>
      <c r="E15" s="4"/>
      <c r="F15" s="25"/>
      <c r="G15" s="5"/>
    </row>
    <row r="16" spans="3:10" ht="15.6">
      <c r="C16" s="20" t="s">
        <v>14</v>
      </c>
      <c r="D16" s="149" t="s">
        <v>5</v>
      </c>
      <c r="E16" s="4">
        <v>0</v>
      </c>
      <c r="F16" s="25">
        <f>'Calculation Schedules'!E9</f>
        <v>67620.372979027103</v>
      </c>
      <c r="G16" s="149" t="s">
        <v>5</v>
      </c>
    </row>
    <row r="17" spans="3:8" ht="28.9">
      <c r="C17" s="64" t="s">
        <v>15</v>
      </c>
      <c r="D17" s="149" t="s">
        <v>5</v>
      </c>
      <c r="E17" s="4">
        <f>F17*15/115</f>
        <v>1667.7910173483365</v>
      </c>
      <c r="F17" s="25">
        <f>'Calculation Schedules'!F9</f>
        <v>12786.39779967058</v>
      </c>
      <c r="G17" s="149" t="s">
        <v>5</v>
      </c>
    </row>
    <row r="18" spans="3:8" ht="15.6">
      <c r="C18" s="20" t="s">
        <v>16</v>
      </c>
      <c r="D18" s="149" t="s">
        <v>5</v>
      </c>
      <c r="E18" s="4">
        <f>F18*15/115</f>
        <v>51472.82608695652</v>
      </c>
      <c r="F18" s="25">
        <f>'Calculation Schedules'!F45</f>
        <v>394625</v>
      </c>
      <c r="G18" s="149" t="s">
        <v>5</v>
      </c>
    </row>
    <row r="19" spans="3:8" ht="28.9">
      <c r="C19" s="64" t="s">
        <v>30</v>
      </c>
      <c r="D19" s="149" t="s">
        <v>5</v>
      </c>
      <c r="E19" s="4">
        <f>F19*15/115</f>
        <v>4247.4016408580319</v>
      </c>
      <c r="F19" s="25">
        <f>'Calculation Schedules'!F78</f>
        <v>32563.412579911575</v>
      </c>
      <c r="G19" s="149" t="s">
        <v>5</v>
      </c>
    </row>
    <row r="20" spans="3:8" ht="28.9">
      <c r="C20" s="64" t="s">
        <v>31</v>
      </c>
      <c r="D20" s="149" t="s">
        <v>5</v>
      </c>
      <c r="E20" s="4">
        <f>F20*15/115</f>
        <v>3732.1004347826088</v>
      </c>
      <c r="F20" s="25">
        <v>28612.77</v>
      </c>
      <c r="G20" s="149" t="s">
        <v>5</v>
      </c>
    </row>
    <row r="21" spans="3:8">
      <c r="C21" s="20"/>
      <c r="D21" s="16"/>
      <c r="E21" s="4"/>
      <c r="F21" s="25"/>
      <c r="G21" s="5"/>
    </row>
    <row r="22" spans="3:8" ht="15.6">
      <c r="C22" s="65" t="s">
        <v>19</v>
      </c>
      <c r="D22" s="96"/>
      <c r="E22" s="4"/>
      <c r="F22" s="25">
        <f>E11-SUM(E16:E20)</f>
        <v>395401.61995048926</v>
      </c>
      <c r="G22" s="149" t="s">
        <v>5</v>
      </c>
    </row>
    <row r="23" spans="3:8">
      <c r="C23" s="56"/>
      <c r="D23" s="97"/>
      <c r="E23" s="4"/>
      <c r="F23" s="57"/>
      <c r="G23" s="5"/>
    </row>
    <row r="24" spans="3:8">
      <c r="C24" s="22" t="s">
        <v>20</v>
      </c>
      <c r="D24" s="16"/>
      <c r="E24" s="4"/>
      <c r="F24" s="26">
        <f>SUM(F16:F23)</f>
        <v>931609.57330909849</v>
      </c>
      <c r="G24" s="5"/>
    </row>
    <row r="25" spans="3:8">
      <c r="C25" s="20"/>
      <c r="D25" s="16"/>
      <c r="E25" s="4"/>
      <c r="F25" s="25"/>
      <c r="G25" s="5"/>
    </row>
    <row r="26" spans="3:8">
      <c r="C26" s="20" t="s">
        <v>21</v>
      </c>
      <c r="D26" s="4">
        <f>G11-F24</f>
        <v>2568390.4266909016</v>
      </c>
      <c r="E26" s="4"/>
      <c r="F26" s="25"/>
      <c r="G26" s="5"/>
    </row>
    <row r="27" spans="3:8" ht="15.6">
      <c r="C27" s="149" t="s">
        <v>5</v>
      </c>
      <c r="D27" s="16"/>
      <c r="E27" s="4"/>
      <c r="F27" s="25"/>
      <c r="G27" s="5"/>
    </row>
    <row r="28" spans="3:8" ht="15.6">
      <c r="C28" s="91" t="s">
        <v>22</v>
      </c>
      <c r="D28" s="16"/>
      <c r="E28" s="4"/>
      <c r="F28" s="25">
        <f>G11-F24</f>
        <v>2568390.4266909016</v>
      </c>
      <c r="G28" s="149" t="s">
        <v>5</v>
      </c>
      <c r="H28" s="149" t="s">
        <v>5</v>
      </c>
    </row>
    <row r="29" spans="3:8">
      <c r="C29" s="20" t="s">
        <v>32</v>
      </c>
      <c r="D29" s="16"/>
      <c r="E29" s="4"/>
      <c r="F29" s="25"/>
      <c r="G29" s="5"/>
    </row>
    <row r="30" spans="3:8" ht="15.6">
      <c r="C30" s="20" t="s">
        <v>24</v>
      </c>
      <c r="D30" s="4">
        <v>3203046.89</v>
      </c>
      <c r="E30" s="149" t="s">
        <v>5</v>
      </c>
      <c r="F30" s="149" t="s">
        <v>5</v>
      </c>
      <c r="G30" s="5"/>
    </row>
    <row r="31" spans="3:8">
      <c r="C31" s="20" t="s">
        <v>33</v>
      </c>
      <c r="D31" s="4">
        <f>D30*16.5%*(194/365)</f>
        <v>280902.82451753435</v>
      </c>
      <c r="E31" s="4"/>
      <c r="F31" s="25"/>
      <c r="G31" s="5"/>
    </row>
    <row r="32" spans="3:8" ht="15" thickBot="1">
      <c r="C32" s="20"/>
      <c r="D32" s="105">
        <f>SUM(D30:D31)</f>
        <v>3483949.7145175347</v>
      </c>
      <c r="E32" s="4"/>
      <c r="F32" s="25"/>
      <c r="G32" s="5"/>
    </row>
    <row r="33" spans="3:7" ht="15" thickTop="1">
      <c r="C33" s="20"/>
      <c r="D33" s="4"/>
      <c r="E33" s="4"/>
      <c r="F33" s="25"/>
      <c r="G33" s="5"/>
    </row>
    <row r="34" spans="3:7" ht="28.9">
      <c r="C34" s="64" t="s">
        <v>34</v>
      </c>
      <c r="D34" s="4">
        <f>D32-D26</f>
        <v>915559.28782663308</v>
      </c>
      <c r="E34" s="4"/>
      <c r="F34" s="25"/>
      <c r="G34" s="5"/>
    </row>
    <row r="35" spans="3:7" ht="15.6">
      <c r="C35" s="149" t="s">
        <v>5</v>
      </c>
      <c r="D35" s="149" t="s">
        <v>5</v>
      </c>
      <c r="E35" s="149" t="s">
        <v>5</v>
      </c>
      <c r="F35" s="25"/>
      <c r="G35" s="5"/>
    </row>
    <row r="36" spans="3:7" ht="15" thickBot="1">
      <c r="C36" s="22" t="s">
        <v>26</v>
      </c>
      <c r="D36" s="98"/>
      <c r="E36" s="6"/>
      <c r="F36" s="27">
        <f>SUM(F24:F35)</f>
        <v>3500000</v>
      </c>
      <c r="G36" s="7">
        <f>SUM(G11:G35)</f>
        <v>3500000</v>
      </c>
    </row>
    <row r="37" spans="3:7" ht="15" thickBot="1">
      <c r="C37" s="23"/>
      <c r="D37" s="18"/>
      <c r="E37" s="8"/>
      <c r="F37" s="28"/>
      <c r="G37" s="10"/>
    </row>
  </sheetData>
  <mergeCells count="1">
    <mergeCell ref="C6:G6"/>
  </mergeCells>
  <pageMargins left="0.7" right="0.7" top="0.75" bottom="0.75" header="0.3" footer="0.3"/>
  <headerFooter>
    <oddFooter xml:space="preserve">&amp;R_x000D_&amp;1#&amp;"Arial"&amp;8&amp;K000000 Internal Use Only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5D297-C7F5-438C-8003-FAC6691C01A8}">
  <dimension ref="C1:J35"/>
  <sheetViews>
    <sheetView zoomScale="110" zoomScaleNormal="110" workbookViewId="0">
      <selection activeCell="D29" sqref="D29"/>
    </sheetView>
  </sheetViews>
  <sheetFormatPr defaultColWidth="8.7109375" defaultRowHeight="14.45"/>
  <cols>
    <col min="3" max="3" width="52.7109375" customWidth="1"/>
    <col min="4" max="4" width="19.140625" customWidth="1"/>
    <col min="5" max="6" width="19.140625" style="3" customWidth="1"/>
    <col min="7" max="7" width="17.28515625" style="3" customWidth="1"/>
  </cols>
  <sheetData>
    <row r="1" spans="3:10">
      <c r="C1" t="s">
        <v>0</v>
      </c>
    </row>
    <row r="2" spans="3:10">
      <c r="J2" s="151">
        <v>8.5</v>
      </c>
    </row>
    <row r="3" spans="3:10" ht="15" thickBot="1"/>
    <row r="4" spans="3:10">
      <c r="C4" s="13" t="s">
        <v>35</v>
      </c>
      <c r="D4" s="92"/>
      <c r="E4" s="14"/>
      <c r="F4" s="14"/>
      <c r="G4" s="15"/>
    </row>
    <row r="5" spans="3:10">
      <c r="C5" s="16"/>
      <c r="G5" s="5"/>
    </row>
    <row r="6" spans="3:10" ht="31.9" customHeight="1">
      <c r="C6" s="158" t="s">
        <v>36</v>
      </c>
      <c r="D6" s="159"/>
      <c r="E6" s="156"/>
      <c r="F6" s="156"/>
      <c r="G6" s="157"/>
      <c r="H6" s="149" t="s">
        <v>5</v>
      </c>
      <c r="I6" s="149" t="s">
        <v>5</v>
      </c>
    </row>
    <row r="7" spans="3:10" ht="15" thickBot="1">
      <c r="C7" s="18"/>
      <c r="D7" s="93"/>
      <c r="E7" s="9"/>
      <c r="F7" s="9"/>
      <c r="G7" s="10"/>
    </row>
    <row r="8" spans="3:10" s="2" customFormat="1">
      <c r="C8" s="19" t="s">
        <v>6</v>
      </c>
      <c r="D8" s="106" t="s">
        <v>7</v>
      </c>
      <c r="E8" s="11" t="s">
        <v>8</v>
      </c>
      <c r="F8" s="24" t="s">
        <v>9</v>
      </c>
      <c r="G8" s="12" t="s">
        <v>10</v>
      </c>
    </row>
    <row r="9" spans="3:10">
      <c r="C9" s="20"/>
      <c r="D9" s="16"/>
      <c r="E9" s="4"/>
      <c r="F9" s="25"/>
      <c r="G9" s="5"/>
    </row>
    <row r="10" spans="3:10">
      <c r="C10" s="21" t="s">
        <v>11</v>
      </c>
      <c r="D10" s="94"/>
      <c r="E10" s="4"/>
      <c r="F10" s="25"/>
      <c r="G10" s="5"/>
    </row>
    <row r="11" spans="3:10" ht="28.9">
      <c r="C11" s="64" t="s">
        <v>37</v>
      </c>
      <c r="D11" s="95"/>
      <c r="E11" s="4">
        <f>G11*15/115</f>
        <v>150000</v>
      </c>
      <c r="F11" s="149" t="s">
        <v>5</v>
      </c>
      <c r="G11" s="5">
        <v>1150000</v>
      </c>
    </row>
    <row r="12" spans="3:10">
      <c r="C12" s="20"/>
      <c r="D12" s="16"/>
      <c r="E12" s="4"/>
      <c r="F12" s="25"/>
      <c r="G12" s="5"/>
    </row>
    <row r="13" spans="3:10">
      <c r="C13" s="20"/>
      <c r="D13" s="16"/>
      <c r="E13" s="4"/>
      <c r="F13" s="25"/>
      <c r="G13" s="5"/>
    </row>
    <row r="14" spans="3:10">
      <c r="C14" s="20"/>
      <c r="D14" s="16"/>
      <c r="E14" s="4"/>
      <c r="F14" s="25"/>
      <c r="G14" s="5"/>
    </row>
    <row r="15" spans="3:10">
      <c r="C15" s="21" t="s">
        <v>13</v>
      </c>
      <c r="D15" s="94"/>
      <c r="E15" s="4"/>
      <c r="F15" s="25"/>
      <c r="G15" s="5"/>
    </row>
    <row r="16" spans="3:10" ht="15.6">
      <c r="C16" s="20" t="s">
        <v>14</v>
      </c>
      <c r="D16" s="149" t="s">
        <v>5</v>
      </c>
      <c r="E16" s="4">
        <v>0</v>
      </c>
      <c r="F16" s="25">
        <f>'Calculation Schedules'!E10</f>
        <v>22218.122550251763</v>
      </c>
      <c r="G16" s="149" t="s">
        <v>5</v>
      </c>
    </row>
    <row r="17" spans="3:8" ht="28.9">
      <c r="C17" s="64" t="s">
        <v>15</v>
      </c>
      <c r="D17" s="149" t="s">
        <v>5</v>
      </c>
      <c r="E17" s="4">
        <f>F17*15/115</f>
        <v>547.98847712873919</v>
      </c>
      <c r="F17" s="25">
        <f>'Calculation Schedules'!F10</f>
        <v>4201.2449913203336</v>
      </c>
      <c r="G17" s="149" t="s">
        <v>5</v>
      </c>
    </row>
    <row r="18" spans="3:8" ht="15.6">
      <c r="C18" s="20" t="s">
        <v>16</v>
      </c>
      <c r="D18" s="149" t="s">
        <v>5</v>
      </c>
      <c r="E18" s="4">
        <f>F18*15/115</f>
        <v>16912.5</v>
      </c>
      <c r="F18" s="25">
        <f>'Calculation Schedules'!F53</f>
        <v>129662.5</v>
      </c>
      <c r="G18" s="149" t="s">
        <v>5</v>
      </c>
    </row>
    <row r="19" spans="3:8">
      <c r="C19" s="20"/>
      <c r="D19" s="16"/>
      <c r="E19" s="4"/>
      <c r="F19" s="25"/>
      <c r="G19" s="5"/>
    </row>
    <row r="20" spans="3:8" ht="15.6">
      <c r="C20" s="65" t="s">
        <v>19</v>
      </c>
      <c r="D20" s="96"/>
      <c r="E20" s="4"/>
      <c r="F20" s="25">
        <f>E11-SUM(E16:E18)</f>
        <v>132539.51152287127</v>
      </c>
      <c r="G20" s="149" t="s">
        <v>5</v>
      </c>
    </row>
    <row r="21" spans="3:8">
      <c r="C21" s="20"/>
      <c r="D21" s="16"/>
      <c r="E21" s="4"/>
      <c r="F21" s="25"/>
      <c r="G21" s="5"/>
    </row>
    <row r="22" spans="3:8">
      <c r="C22" s="22" t="s">
        <v>20</v>
      </c>
      <c r="D22" s="16"/>
      <c r="E22" s="4"/>
      <c r="F22" s="26">
        <f>SUM(F16:F21)</f>
        <v>288621.3790644434</v>
      </c>
      <c r="G22" s="5"/>
    </row>
    <row r="23" spans="3:8">
      <c r="C23" s="20"/>
      <c r="D23" s="16"/>
      <c r="E23" s="4"/>
      <c r="F23" s="25"/>
      <c r="G23" s="5"/>
    </row>
    <row r="24" spans="3:8">
      <c r="C24" s="20" t="s">
        <v>21</v>
      </c>
      <c r="D24" s="4">
        <f>G11-F22</f>
        <v>861378.6209355566</v>
      </c>
      <c r="E24" s="4"/>
      <c r="F24" s="25"/>
      <c r="G24" s="5"/>
    </row>
    <row r="25" spans="3:8" ht="15.6">
      <c r="C25" s="149" t="s">
        <v>5</v>
      </c>
      <c r="D25" s="16"/>
      <c r="E25" s="4"/>
      <c r="F25" s="25"/>
      <c r="G25" s="5"/>
    </row>
    <row r="26" spans="3:8">
      <c r="C26" s="91" t="s">
        <v>22</v>
      </c>
      <c r="D26" s="16"/>
      <c r="E26" s="4"/>
      <c r="F26" s="25"/>
      <c r="G26" s="5"/>
    </row>
    <row r="27" spans="3:8" ht="28.9">
      <c r="C27" s="64" t="s">
        <v>38</v>
      </c>
      <c r="D27" s="16"/>
      <c r="E27" s="4"/>
      <c r="F27" s="25">
        <f>G11-F22</f>
        <v>861378.6209355566</v>
      </c>
      <c r="G27" s="149" t="s">
        <v>5</v>
      </c>
      <c r="H27" s="149" t="s">
        <v>5</v>
      </c>
    </row>
    <row r="28" spans="3:8" ht="15.6">
      <c r="C28" s="20" t="s">
        <v>24</v>
      </c>
      <c r="D28" s="4">
        <v>1261052.55</v>
      </c>
      <c r="E28" s="149" t="s">
        <v>5</v>
      </c>
      <c r="F28" s="149" t="s">
        <v>5</v>
      </c>
      <c r="G28" s="5"/>
    </row>
    <row r="29" spans="3:8" ht="28.9">
      <c r="C29" s="64" t="s">
        <v>39</v>
      </c>
      <c r="D29" s="4">
        <f>D28*18.75%*(194/365)</f>
        <v>125673.38768835619</v>
      </c>
      <c r="E29" s="4"/>
      <c r="F29" s="25"/>
      <c r="G29" s="5"/>
    </row>
    <row r="30" spans="3:8" ht="15" thickBot="1">
      <c r="C30" s="20"/>
      <c r="D30" s="105">
        <f>SUM(D28:D29)</f>
        <v>1386725.9376883563</v>
      </c>
      <c r="E30" s="4"/>
      <c r="F30" s="25"/>
      <c r="G30" s="5"/>
    </row>
    <row r="31" spans="3:8" ht="15" thickTop="1">
      <c r="C31" s="20"/>
      <c r="D31" s="4"/>
      <c r="E31" s="4"/>
      <c r="F31" s="25"/>
      <c r="G31" s="5"/>
    </row>
    <row r="32" spans="3:8" ht="28.9">
      <c r="C32" s="64" t="s">
        <v>40</v>
      </c>
      <c r="D32" s="4">
        <f>D30-D24</f>
        <v>525347.31675279967</v>
      </c>
      <c r="E32" s="4"/>
      <c r="F32" s="25"/>
      <c r="G32" s="5"/>
    </row>
    <row r="33" spans="3:7" ht="15.6">
      <c r="C33" s="149" t="s">
        <v>5</v>
      </c>
      <c r="D33" s="149" t="s">
        <v>5</v>
      </c>
      <c r="E33" s="149" t="s">
        <v>5</v>
      </c>
      <c r="F33" s="25"/>
      <c r="G33" s="5"/>
    </row>
    <row r="34" spans="3:7" ht="15" thickBot="1">
      <c r="C34" s="22" t="s">
        <v>26</v>
      </c>
      <c r="D34" s="98"/>
      <c r="E34" s="6"/>
      <c r="F34" s="27">
        <f>SUM(F22:F33)</f>
        <v>1150000</v>
      </c>
      <c r="G34" s="7">
        <f>SUM(G11:G33)</f>
        <v>1150000</v>
      </c>
    </row>
    <row r="35" spans="3:7" ht="15" thickBot="1">
      <c r="C35" s="23"/>
      <c r="D35" s="18"/>
      <c r="E35" s="8"/>
      <c r="F35" s="28"/>
      <c r="G35" s="10"/>
    </row>
  </sheetData>
  <mergeCells count="1">
    <mergeCell ref="C6:G6"/>
  </mergeCells>
  <pageMargins left="0.7" right="0.7" top="0.75" bottom="0.75" header="0.3" footer="0.3"/>
  <headerFooter>
    <oddFooter xml:space="preserve">&amp;R_x000D_&amp;1#&amp;"Arial"&amp;8&amp;K000000 Internal Use Only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40676-E372-4A87-A64F-C2C376781070}">
  <dimension ref="C1:K55"/>
  <sheetViews>
    <sheetView zoomScale="110" zoomScaleNormal="110" workbookViewId="0">
      <selection activeCell="D60" sqref="D60"/>
    </sheetView>
  </sheetViews>
  <sheetFormatPr defaultColWidth="8.7109375" defaultRowHeight="14.45"/>
  <cols>
    <col min="3" max="3" width="52.7109375" customWidth="1"/>
    <col min="4" max="4" width="17.7109375" customWidth="1"/>
    <col min="5" max="5" width="18.140625" customWidth="1"/>
    <col min="6" max="7" width="19.140625" style="3" customWidth="1"/>
    <col min="8" max="8" width="17.28515625" style="3" customWidth="1"/>
    <col min="10" max="10" width="13.140625" customWidth="1"/>
    <col min="11" max="11" width="10.7109375" bestFit="1" customWidth="1"/>
  </cols>
  <sheetData>
    <row r="1" spans="3:11">
      <c r="C1" t="s">
        <v>0</v>
      </c>
    </row>
    <row r="2" spans="3:11">
      <c r="J2" s="151">
        <v>21.5</v>
      </c>
    </row>
    <row r="3" spans="3:11" ht="15" thickBot="1"/>
    <row r="4" spans="3:11" ht="15.6">
      <c r="C4" s="13" t="s">
        <v>41</v>
      </c>
      <c r="D4" s="92"/>
      <c r="E4" s="92"/>
      <c r="F4" s="14"/>
      <c r="G4" s="14"/>
      <c r="H4" s="15"/>
      <c r="J4" s="149" t="s">
        <v>5</v>
      </c>
    </row>
    <row r="5" spans="3:11" ht="15" thickBot="1">
      <c r="C5" s="18"/>
      <c r="D5" s="93"/>
      <c r="E5" s="93"/>
      <c r="F5" s="9"/>
      <c r="G5" s="9"/>
      <c r="H5" s="10"/>
    </row>
    <row r="6" spans="3:11" s="2" customFormat="1">
      <c r="C6" s="19" t="s">
        <v>6</v>
      </c>
      <c r="D6" s="160" t="s">
        <v>42</v>
      </c>
      <c r="E6" s="161"/>
      <c r="F6" s="131" t="s">
        <v>8</v>
      </c>
      <c r="G6" s="24" t="s">
        <v>9</v>
      </c>
      <c r="H6" s="12" t="s">
        <v>10</v>
      </c>
    </row>
    <row r="7" spans="3:11">
      <c r="C7" s="20"/>
      <c r="D7" s="16"/>
      <c r="E7" s="20"/>
      <c r="G7" s="25"/>
      <c r="H7" s="5"/>
    </row>
    <row r="8" spans="3:11">
      <c r="C8" s="21" t="s">
        <v>11</v>
      </c>
      <c r="D8" s="94"/>
      <c r="E8" s="21"/>
      <c r="G8" s="25"/>
      <c r="H8" s="5"/>
    </row>
    <row r="9" spans="3:11" ht="28.9">
      <c r="C9" s="64" t="s">
        <v>43</v>
      </c>
      <c r="D9" s="95"/>
      <c r="E9" s="64"/>
      <c r="F9" s="3">
        <f>15/115*H9</f>
        <v>30116.621739130434</v>
      </c>
      <c r="G9" s="149" t="s">
        <v>5</v>
      </c>
      <c r="H9" s="5">
        <v>230894.1</v>
      </c>
      <c r="J9" s="3"/>
      <c r="K9" s="3"/>
    </row>
    <row r="10" spans="3:11" ht="43.15">
      <c r="C10" s="64" t="s">
        <v>44</v>
      </c>
      <c r="D10" s="95"/>
      <c r="E10" s="64"/>
      <c r="F10" s="3">
        <f>15/115*H10</f>
        <v>5700</v>
      </c>
      <c r="G10" s="149" t="s">
        <v>5</v>
      </c>
      <c r="H10" s="5">
        <v>43700</v>
      </c>
    </row>
    <row r="11" spans="3:11" ht="28.9">
      <c r="C11" s="64" t="s">
        <v>45</v>
      </c>
      <c r="D11" s="95"/>
      <c r="E11" s="64"/>
      <c r="F11" s="3">
        <f>0/115*H11</f>
        <v>0</v>
      </c>
      <c r="G11" s="149" t="s">
        <v>5</v>
      </c>
      <c r="H11" s="5">
        <v>88405.08</v>
      </c>
    </row>
    <row r="12" spans="3:11" ht="28.9">
      <c r="C12" s="64" t="s">
        <v>46</v>
      </c>
      <c r="D12" s="95"/>
      <c r="E12" s="64"/>
      <c r="F12" s="3">
        <f>15/115*H12</f>
        <v>15766.533913043477</v>
      </c>
      <c r="G12" s="25"/>
      <c r="H12" s="5">
        <v>120876.76</v>
      </c>
      <c r="J12" s="67" t="s">
        <v>47</v>
      </c>
      <c r="K12" s="68">
        <f>SUM(H9:H12)</f>
        <v>483875.94</v>
      </c>
    </row>
    <row r="13" spans="3:11">
      <c r="C13" s="100"/>
      <c r="D13" s="101"/>
      <c r="E13" s="64"/>
      <c r="G13" s="25"/>
      <c r="H13" s="5"/>
    </row>
    <row r="14" spans="3:11">
      <c r="C14" s="20"/>
      <c r="D14" s="16"/>
      <c r="E14" s="20"/>
      <c r="G14" s="25"/>
      <c r="H14" s="5"/>
    </row>
    <row r="15" spans="3:11">
      <c r="C15" s="21" t="s">
        <v>13</v>
      </c>
      <c r="D15" s="94"/>
      <c r="E15" s="21"/>
      <c r="G15" s="25"/>
      <c r="H15" s="5"/>
    </row>
    <row r="16" spans="3:11" ht="15.6">
      <c r="C16" s="20" t="s">
        <v>14</v>
      </c>
      <c r="D16" s="16"/>
      <c r="E16" s="149" t="s">
        <v>5</v>
      </c>
      <c r="F16" s="3">
        <v>0</v>
      </c>
      <c r="G16" s="25">
        <f>'Calculation Schedules'!E11</f>
        <v>9348.534725250669</v>
      </c>
      <c r="H16" s="149" t="s">
        <v>5</v>
      </c>
    </row>
    <row r="17" spans="3:8" ht="28.9">
      <c r="C17" s="64" t="s">
        <v>15</v>
      </c>
      <c r="D17" s="95"/>
      <c r="E17" s="149" t="s">
        <v>5</v>
      </c>
      <c r="F17" s="3">
        <f>15/115*G17</f>
        <v>230.57255606942363</v>
      </c>
      <c r="G17" s="25">
        <f>'Calculation Schedules'!F11</f>
        <v>1767.7229298655811</v>
      </c>
      <c r="H17" s="149" t="s">
        <v>5</v>
      </c>
    </row>
    <row r="18" spans="3:8" ht="15.6">
      <c r="C18" s="65" t="s">
        <v>16</v>
      </c>
      <c r="D18" s="96"/>
      <c r="E18" s="149" t="s">
        <v>5</v>
      </c>
      <c r="F18" s="3">
        <f>15/115*G18</f>
        <v>5816.0007997826087</v>
      </c>
      <c r="G18" s="25">
        <f>'Calculation Schedules'!F61</f>
        <v>44589.339465000005</v>
      </c>
      <c r="H18" s="149" t="s">
        <v>5</v>
      </c>
    </row>
    <row r="19" spans="3:8">
      <c r="C19" s="20" t="s">
        <v>48</v>
      </c>
      <c r="D19" s="16"/>
      <c r="E19" s="20"/>
      <c r="F19" s="3">
        <f>15/115*G19</f>
        <v>1326.0762</v>
      </c>
      <c r="G19" s="25">
        <f>'Calculation Schedules'!F70</f>
        <v>10166.584199999999</v>
      </c>
      <c r="H19" s="5"/>
    </row>
    <row r="20" spans="3:8" ht="28.9">
      <c r="C20" s="64" t="s">
        <v>30</v>
      </c>
      <c r="D20" s="95"/>
      <c r="E20" s="149" t="s">
        <v>5</v>
      </c>
      <c r="F20" s="3">
        <f>15/115*G20</f>
        <v>333.23183740283832</v>
      </c>
      <c r="G20" s="25">
        <f>'Calculation Schedules'!F79</f>
        <v>2554.7774200884273</v>
      </c>
      <c r="H20" s="149" t="s">
        <v>5</v>
      </c>
    </row>
    <row r="21" spans="3:8" ht="15.6">
      <c r="C21" s="20" t="s">
        <v>49</v>
      </c>
      <c r="D21" s="16"/>
      <c r="E21" s="149" t="s">
        <v>5</v>
      </c>
      <c r="F21" s="3">
        <f>15/115*G21</f>
        <v>2430.2517391304345</v>
      </c>
      <c r="G21" s="25">
        <v>18631.93</v>
      </c>
      <c r="H21" s="149" t="s">
        <v>5</v>
      </c>
    </row>
    <row r="22" spans="3:8">
      <c r="C22" s="20" t="s">
        <v>50</v>
      </c>
      <c r="D22" s="16"/>
      <c r="E22" s="20"/>
      <c r="F22" s="3">
        <v>0</v>
      </c>
      <c r="G22" s="25">
        <v>15000</v>
      </c>
      <c r="H22" s="5"/>
    </row>
    <row r="23" spans="3:8">
      <c r="C23" s="91" t="s">
        <v>51</v>
      </c>
      <c r="D23" s="17"/>
      <c r="E23" s="20"/>
      <c r="G23" s="25"/>
      <c r="H23" s="5"/>
    </row>
    <row r="24" spans="3:8" ht="15.6">
      <c r="C24" s="20" t="s">
        <v>52</v>
      </c>
      <c r="D24" s="16"/>
      <c r="E24" s="149" t="s">
        <v>5</v>
      </c>
      <c r="F24" s="3">
        <f t="shared" ref="F24:F27" si="0">15/115*G24</f>
        <v>120</v>
      </c>
      <c r="G24" s="25">
        <v>920</v>
      </c>
      <c r="H24" s="149" t="s">
        <v>5</v>
      </c>
    </row>
    <row r="25" spans="3:8" ht="15.6">
      <c r="C25" s="20" t="s">
        <v>53</v>
      </c>
      <c r="D25" s="16"/>
      <c r="E25" s="149" t="s">
        <v>5</v>
      </c>
      <c r="F25" s="3">
        <f t="shared" si="0"/>
        <v>4.9330434782608696</v>
      </c>
      <c r="G25" s="25">
        <v>37.82</v>
      </c>
      <c r="H25" s="149" t="s">
        <v>5</v>
      </c>
    </row>
    <row r="26" spans="3:8" ht="15.6">
      <c r="C26" s="20" t="s">
        <v>54</v>
      </c>
      <c r="D26" s="16"/>
      <c r="E26" s="149" t="s">
        <v>5</v>
      </c>
      <c r="F26" s="3">
        <f t="shared" si="0"/>
        <v>4.9330434782608696</v>
      </c>
      <c r="G26" s="25">
        <v>37.82</v>
      </c>
      <c r="H26" s="149" t="s">
        <v>5</v>
      </c>
    </row>
    <row r="27" spans="3:8" ht="15.6">
      <c r="C27" s="65" t="s">
        <v>55</v>
      </c>
      <c r="D27" s="96"/>
      <c r="E27" s="149" t="s">
        <v>5</v>
      </c>
      <c r="F27" s="3">
        <f t="shared" si="0"/>
        <v>4.9330434782608696</v>
      </c>
      <c r="G27" s="25">
        <v>37.82</v>
      </c>
      <c r="H27" s="149" t="s">
        <v>5</v>
      </c>
    </row>
    <row r="28" spans="3:8" ht="15.6">
      <c r="C28" s="65" t="s">
        <v>56</v>
      </c>
      <c r="D28" s="96"/>
      <c r="E28" s="149" t="s">
        <v>5</v>
      </c>
      <c r="F28" s="3">
        <f>15/115*G28</f>
        <v>52.173913043478258</v>
      </c>
      <c r="G28" s="25">
        <v>400</v>
      </c>
      <c r="H28" s="149" t="s">
        <v>5</v>
      </c>
    </row>
    <row r="29" spans="3:8" ht="15.6">
      <c r="C29" s="20" t="s">
        <v>57</v>
      </c>
      <c r="D29" s="16"/>
      <c r="E29" s="149" t="s">
        <v>5</v>
      </c>
      <c r="F29" s="3">
        <f>15/115*G29</f>
        <v>134.34782608695653</v>
      </c>
      <c r="G29" s="25">
        <v>1030</v>
      </c>
      <c r="H29" s="149" t="s">
        <v>5</v>
      </c>
    </row>
    <row r="30" spans="3:8" ht="15.6">
      <c r="C30" s="20" t="s">
        <v>58</v>
      </c>
      <c r="D30" s="16"/>
      <c r="E30" s="149" t="s">
        <v>5</v>
      </c>
      <c r="F30" s="3">
        <f>15/115*G30</f>
        <v>901.83913043478265</v>
      </c>
      <c r="G30" s="25">
        <v>6914.1</v>
      </c>
      <c r="H30" s="149" t="s">
        <v>5</v>
      </c>
    </row>
    <row r="31" spans="3:8">
      <c r="C31" s="20"/>
      <c r="D31" s="16"/>
      <c r="E31" s="20"/>
      <c r="G31" s="25"/>
      <c r="H31" s="5"/>
    </row>
    <row r="32" spans="3:8">
      <c r="C32" s="65" t="s">
        <v>19</v>
      </c>
      <c r="D32" s="96"/>
      <c r="E32" s="56"/>
      <c r="G32" s="99">
        <f>SUM(F9:F12)-SUM(F16:F30)</f>
        <v>40223.862519788607</v>
      </c>
      <c r="H32" s="5"/>
    </row>
    <row r="33" spans="3:10">
      <c r="C33" s="56"/>
      <c r="D33" s="97"/>
      <c r="E33" s="56"/>
      <c r="G33" s="57"/>
      <c r="H33" s="5"/>
    </row>
    <row r="34" spans="3:10">
      <c r="C34" s="22" t="s">
        <v>20</v>
      </c>
      <c r="D34" s="98"/>
      <c r="E34" s="22"/>
      <c r="G34" s="26">
        <f>SUM(G16:G32)</f>
        <v>151660.31125999332</v>
      </c>
      <c r="H34" s="5"/>
    </row>
    <row r="35" spans="3:10">
      <c r="C35" s="20"/>
      <c r="D35" s="16"/>
      <c r="E35" s="20"/>
      <c r="G35" s="25"/>
      <c r="H35" s="5"/>
    </row>
    <row r="36" spans="3:10">
      <c r="C36" s="20" t="s">
        <v>21</v>
      </c>
      <c r="D36" s="16"/>
      <c r="E36" s="25">
        <f>SUM(H9:H12)-G34</f>
        <v>332215.62874000671</v>
      </c>
      <c r="G36" s="25"/>
      <c r="H36" s="5"/>
      <c r="I36" s="101"/>
      <c r="J36" s="102"/>
    </row>
    <row r="37" spans="3:10">
      <c r="C37" s="20"/>
      <c r="D37" s="16"/>
      <c r="E37" s="20"/>
      <c r="G37" s="25"/>
      <c r="H37" s="5"/>
    </row>
    <row r="38" spans="3:10" ht="15.6">
      <c r="C38" s="83" t="s">
        <v>22</v>
      </c>
      <c r="D38" s="149" t="s">
        <v>5</v>
      </c>
      <c r="E38" s="25"/>
      <c r="G38" s="25"/>
      <c r="H38" s="5"/>
    </row>
    <row r="39" spans="3:10" ht="15.6">
      <c r="C39" s="20"/>
      <c r="D39" s="149" t="s">
        <v>5</v>
      </c>
      <c r="E39" s="149" t="s">
        <v>5</v>
      </c>
      <c r="G39" s="25"/>
      <c r="H39" s="5"/>
    </row>
    <row r="40" spans="3:10" ht="15.6">
      <c r="C40" s="21" t="s">
        <v>59</v>
      </c>
      <c r="D40" s="149" t="s">
        <v>5</v>
      </c>
      <c r="E40" s="149" t="s">
        <v>5</v>
      </c>
      <c r="G40" s="25"/>
      <c r="H40" s="5"/>
      <c r="I40" s="55" t="s">
        <v>60</v>
      </c>
      <c r="J40" s="30" t="s">
        <v>61</v>
      </c>
    </row>
    <row r="41" spans="3:10" ht="28.9">
      <c r="C41" s="129" t="s">
        <v>62</v>
      </c>
      <c r="D41" s="106" t="s">
        <v>63</v>
      </c>
      <c r="E41" s="133" t="s">
        <v>64</v>
      </c>
      <c r="G41" s="25"/>
      <c r="H41" s="149" t="s">
        <v>5</v>
      </c>
      <c r="I41" s="30">
        <v>99</v>
      </c>
      <c r="J41" s="30" t="s">
        <v>65</v>
      </c>
    </row>
    <row r="42" spans="3:10" ht="15.6">
      <c r="C42" s="20" t="s">
        <v>66</v>
      </c>
      <c r="D42" s="4">
        <v>12000</v>
      </c>
      <c r="E42" s="25">
        <v>9000</v>
      </c>
      <c r="G42" s="25">
        <f>SUM(D42:E42)</f>
        <v>21000</v>
      </c>
      <c r="H42" s="149" t="s">
        <v>5</v>
      </c>
      <c r="I42" s="30">
        <v>101</v>
      </c>
      <c r="J42" s="30" t="s">
        <v>67</v>
      </c>
    </row>
    <row r="43" spans="3:10" ht="15.6">
      <c r="C43" s="20" t="s">
        <v>68</v>
      </c>
      <c r="D43" s="4">
        <v>4000</v>
      </c>
      <c r="E43" s="25">
        <v>0</v>
      </c>
      <c r="G43" s="25">
        <f>SUM(D43:E43)</f>
        <v>4000</v>
      </c>
      <c r="H43" s="149" t="s">
        <v>5</v>
      </c>
      <c r="I43" s="30">
        <v>102</v>
      </c>
      <c r="J43" s="30" t="s">
        <v>69</v>
      </c>
    </row>
    <row r="44" spans="3:10" ht="15.6">
      <c r="C44" s="20"/>
      <c r="D44" s="4"/>
      <c r="E44" s="25"/>
      <c r="G44" s="25"/>
      <c r="H44" s="149" t="s">
        <v>5</v>
      </c>
      <c r="I44" s="30">
        <v>103</v>
      </c>
      <c r="J44" s="30" t="s">
        <v>70</v>
      </c>
    </row>
    <row r="45" spans="3:10" ht="28.9">
      <c r="C45" s="64" t="s">
        <v>71</v>
      </c>
      <c r="D45" s="4"/>
      <c r="E45" s="25"/>
      <c r="G45" s="25">
        <v>0</v>
      </c>
      <c r="H45" s="5"/>
      <c r="I45" s="30"/>
      <c r="J45" s="30"/>
    </row>
    <row r="46" spans="3:10" ht="28.9">
      <c r="C46" s="64" t="s">
        <v>72</v>
      </c>
      <c r="D46" s="4"/>
      <c r="E46" s="25"/>
      <c r="G46" s="25">
        <v>0</v>
      </c>
      <c r="H46" s="5"/>
      <c r="I46" s="30"/>
      <c r="J46" s="30"/>
    </row>
    <row r="47" spans="3:10">
      <c r="C47" s="91" t="s">
        <v>73</v>
      </c>
      <c r="D47" s="4"/>
      <c r="E47" s="25"/>
      <c r="G47" s="25"/>
      <c r="H47" s="5"/>
    </row>
    <row r="48" spans="3:10" ht="15.6">
      <c r="C48" s="20" t="s">
        <v>74</v>
      </c>
      <c r="D48" s="149" t="s">
        <v>5</v>
      </c>
      <c r="E48" s="25"/>
      <c r="G48" s="25">
        <v>119345.02</v>
      </c>
      <c r="H48" s="149" t="s">
        <v>5</v>
      </c>
      <c r="I48" s="149" t="s">
        <v>5</v>
      </c>
    </row>
    <row r="49" spans="3:9" ht="15.6">
      <c r="C49" s="20" t="s">
        <v>75</v>
      </c>
      <c r="D49" s="149" t="s">
        <v>5</v>
      </c>
      <c r="E49" s="25"/>
      <c r="G49" s="25">
        <v>17841.62</v>
      </c>
      <c r="H49" s="149" t="s">
        <v>5</v>
      </c>
      <c r="I49" s="149" t="s">
        <v>5</v>
      </c>
    </row>
    <row r="50" spans="3:9" ht="15.6">
      <c r="C50" s="20"/>
      <c r="D50" s="4"/>
      <c r="E50" s="25"/>
      <c r="G50" s="25"/>
      <c r="H50" s="149"/>
    </row>
    <row r="51" spans="3:9">
      <c r="C51" s="21" t="s">
        <v>76</v>
      </c>
      <c r="D51" s="4"/>
      <c r="E51" s="25">
        <f>SUM(H9:H12)-SUM(G34:G49)</f>
        <v>170028.98874000669</v>
      </c>
      <c r="G51" s="25">
        <f>SUM(H9:H12)-SUM(G34:G49)</f>
        <v>170028.98874000669</v>
      </c>
      <c r="H51" s="5"/>
    </row>
    <row r="52" spans="3:9">
      <c r="C52" s="20" t="s">
        <v>77</v>
      </c>
      <c r="D52" s="4"/>
      <c r="E52" s="25"/>
      <c r="G52" s="25"/>
      <c r="H52" s="5"/>
    </row>
    <row r="53" spans="3:9">
      <c r="C53" s="20"/>
      <c r="D53" s="4"/>
      <c r="E53" s="25"/>
      <c r="G53" s="25"/>
      <c r="H53" s="5"/>
    </row>
    <row r="54" spans="3:9" ht="15" thickBot="1">
      <c r="C54" s="22" t="s">
        <v>26</v>
      </c>
      <c r="D54" s="98"/>
      <c r="E54" s="22"/>
      <c r="F54" s="132"/>
      <c r="G54" s="27">
        <f>SUM(G34:G53)</f>
        <v>483875.94</v>
      </c>
      <c r="H54" s="7">
        <f>SUM(H9:H12)</f>
        <v>483875.94</v>
      </c>
    </row>
    <row r="55" spans="3:9" ht="15" thickBot="1">
      <c r="C55" s="23"/>
      <c r="D55" s="18"/>
      <c r="E55" s="23"/>
      <c r="F55" s="9"/>
      <c r="G55" s="28"/>
      <c r="H55" s="10"/>
    </row>
  </sheetData>
  <mergeCells count="1">
    <mergeCell ref="D6:E6"/>
  </mergeCells>
  <pageMargins left="0.7" right="0.7" top="0.75" bottom="0.75" header="0.3" footer="0.3"/>
  <headerFooter>
    <oddFooter xml:space="preserve">&amp;R_x000D_&amp;1#&amp;"Arial"&amp;8&amp;K000000 Internal Use Only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A2F3-DCB7-4C38-B3C1-1E8EC760B65A}">
  <dimension ref="C1:J93"/>
  <sheetViews>
    <sheetView topLeftCell="A21" zoomScale="110" zoomScaleNormal="110" workbookViewId="0">
      <selection activeCell="D174" sqref="D174"/>
    </sheetView>
  </sheetViews>
  <sheetFormatPr defaultColWidth="8.7109375" defaultRowHeight="14.45"/>
  <cols>
    <col min="3" max="3" width="52.7109375" customWidth="1"/>
    <col min="4" max="5" width="19.140625" style="36" customWidth="1"/>
    <col min="6" max="6" width="17.28515625" style="36" customWidth="1"/>
    <col min="7" max="7" width="8" style="36" customWidth="1"/>
    <col min="9" max="9" width="34" bestFit="1" customWidth="1"/>
    <col min="10" max="10" width="34.42578125" customWidth="1"/>
  </cols>
  <sheetData>
    <row r="1" spans="3:10">
      <c r="C1" t="s">
        <v>0</v>
      </c>
      <c r="G1" s="153">
        <v>17</v>
      </c>
    </row>
    <row r="3" spans="3:10" ht="15" thickBot="1">
      <c r="I3" s="2" t="s">
        <v>78</v>
      </c>
    </row>
    <row r="4" spans="3:10">
      <c r="C4" s="13" t="s">
        <v>79</v>
      </c>
      <c r="D4" s="37"/>
      <c r="E4" s="37"/>
      <c r="F4" s="38"/>
      <c r="I4" s="112"/>
      <c r="J4" s="113"/>
    </row>
    <row r="5" spans="3:10" ht="15" thickBot="1">
      <c r="C5" s="18" t="s">
        <v>80</v>
      </c>
      <c r="D5" s="39"/>
      <c r="E5" s="39"/>
      <c r="F5" s="40"/>
      <c r="I5" s="16"/>
      <c r="J5" s="104"/>
    </row>
    <row r="6" spans="3:10" s="2" customFormat="1">
      <c r="C6" s="19" t="s">
        <v>81</v>
      </c>
      <c r="D6" s="11" t="s">
        <v>82</v>
      </c>
      <c r="E6" s="24" t="s">
        <v>83</v>
      </c>
      <c r="F6" s="12" t="s">
        <v>84</v>
      </c>
      <c r="G6" s="131"/>
      <c r="I6" s="141">
        <v>52000</v>
      </c>
      <c r="J6" s="142" t="s">
        <v>85</v>
      </c>
    </row>
    <row r="7" spans="3:10" s="2" customFormat="1">
      <c r="C7" s="29"/>
      <c r="D7" s="41"/>
      <c r="E7" s="43"/>
      <c r="F7" s="42"/>
      <c r="G7" s="75"/>
      <c r="I7" s="16"/>
      <c r="J7" s="143"/>
    </row>
    <row r="8" spans="3:10" s="2" customFormat="1">
      <c r="C8" s="65" t="s">
        <v>86</v>
      </c>
      <c r="D8" s="31">
        <v>9100000</v>
      </c>
      <c r="E8" s="32">
        <f>(D8/$D$12)*$F$25</f>
        <v>175812.96974547047</v>
      </c>
      <c r="F8" s="33">
        <f>(D8/$D$12)*$I$6</f>
        <v>33244.634279143509</v>
      </c>
      <c r="G8" s="36"/>
      <c r="I8" s="16"/>
      <c r="J8" s="143"/>
    </row>
    <row r="9" spans="3:10" s="2" customFormat="1" ht="15.6">
      <c r="C9" s="65" t="s">
        <v>87</v>
      </c>
      <c r="D9" s="31">
        <v>3500000</v>
      </c>
      <c r="E9" s="32">
        <f t="shared" ref="E9:E11" si="0">(D9/$D$12)*$F$25</f>
        <v>67620.372979027103</v>
      </c>
      <c r="F9" s="33">
        <f>(D9/$D$12)*$I$6</f>
        <v>12786.39779967058</v>
      </c>
      <c r="G9" s="149" t="s">
        <v>5</v>
      </c>
      <c r="H9" s="149" t="s">
        <v>5</v>
      </c>
      <c r="I9" s="16"/>
      <c r="J9" s="143"/>
    </row>
    <row r="10" spans="3:10" ht="15.6">
      <c r="C10" s="65" t="s">
        <v>88</v>
      </c>
      <c r="D10" s="31">
        <v>1150000</v>
      </c>
      <c r="E10" s="32">
        <f t="shared" si="0"/>
        <v>22218.122550251763</v>
      </c>
      <c r="F10" s="33">
        <f>(D10/$D$12)*$I$6</f>
        <v>4201.2449913203336</v>
      </c>
      <c r="G10" s="149" t="s">
        <v>5</v>
      </c>
      <c r="H10" s="149" t="s">
        <v>5</v>
      </c>
      <c r="I10" s="16"/>
      <c r="J10" s="104"/>
    </row>
    <row r="11" spans="3:10">
      <c r="C11" s="20" t="s">
        <v>89</v>
      </c>
      <c r="D11" s="31">
        <f>SUM('Free Residue Account'!H9:H12)</f>
        <v>483875.94</v>
      </c>
      <c r="E11" s="32">
        <f t="shared" si="0"/>
        <v>9348.534725250669</v>
      </c>
      <c r="F11" s="33">
        <f>(D11/$D$12)*$I$6</f>
        <v>1767.7229298655811</v>
      </c>
      <c r="I11" s="16" t="s">
        <v>90</v>
      </c>
      <c r="J11" s="104"/>
    </row>
    <row r="12" spans="3:10" ht="15" thickBot="1">
      <c r="C12" s="22" t="s">
        <v>26</v>
      </c>
      <c r="D12" s="34">
        <f>SUM(D8:D11)</f>
        <v>14233875.939999999</v>
      </c>
      <c r="E12" s="34">
        <f t="shared" ref="E12" si="1">SUM(E8:E11)</f>
        <v>275000</v>
      </c>
      <c r="F12" s="34">
        <f>SUM(F8:F11)</f>
        <v>52000</v>
      </c>
      <c r="G12" s="76"/>
      <c r="I12" s="16"/>
      <c r="J12" s="144"/>
    </row>
    <row r="13" spans="3:10" ht="16.149999999999999" thickBot="1">
      <c r="C13" s="23"/>
      <c r="D13" s="149" t="s">
        <v>5</v>
      </c>
      <c r="E13" s="149" t="s">
        <v>5</v>
      </c>
      <c r="F13" s="149" t="s">
        <v>5</v>
      </c>
      <c r="G13" s="149"/>
      <c r="I13" s="16"/>
      <c r="J13" s="104"/>
    </row>
    <row r="14" spans="3:10" ht="16.149999999999999" thickBot="1">
      <c r="D14" s="149" t="s">
        <v>5</v>
      </c>
      <c r="I14" s="16"/>
      <c r="J14" s="104"/>
    </row>
    <row r="15" spans="3:10">
      <c r="C15" s="13" t="s">
        <v>91</v>
      </c>
      <c r="D15" s="37"/>
      <c r="E15" s="37"/>
      <c r="F15" s="38"/>
      <c r="I15" s="16"/>
      <c r="J15" s="104"/>
    </row>
    <row r="16" spans="3:10" ht="15" thickBot="1">
      <c r="C16" s="18"/>
      <c r="D16" s="39"/>
      <c r="E16" s="39"/>
      <c r="F16" s="40"/>
      <c r="I16" s="16"/>
      <c r="J16" s="104"/>
    </row>
    <row r="17" spans="3:10">
      <c r="C17" s="29"/>
      <c r="D17" s="41"/>
      <c r="E17" s="43"/>
      <c r="F17" s="72"/>
      <c r="G17" s="75"/>
      <c r="I17" s="16"/>
      <c r="J17" s="104"/>
    </row>
    <row r="18" spans="3:10" ht="15.6">
      <c r="C18" s="20" t="s">
        <v>92</v>
      </c>
      <c r="D18" s="31">
        <f>D12</f>
        <v>14233875.939999999</v>
      </c>
      <c r="E18" s="149" t="s">
        <v>5</v>
      </c>
      <c r="F18" s="32">
        <v>1000</v>
      </c>
      <c r="I18" s="16"/>
      <c r="J18" s="104"/>
    </row>
    <row r="19" spans="3:10">
      <c r="C19" s="20" t="s">
        <v>93</v>
      </c>
      <c r="D19" s="31">
        <v>-150000</v>
      </c>
      <c r="E19" s="32"/>
      <c r="F19" s="32"/>
      <c r="I19" s="16"/>
      <c r="J19" s="104"/>
    </row>
    <row r="20" spans="3:10">
      <c r="C20" s="20"/>
      <c r="D20" s="70">
        <f>SUM(D18:D19)</f>
        <v>14083875.939999999</v>
      </c>
      <c r="E20" s="32"/>
      <c r="F20" s="32"/>
      <c r="I20" s="16"/>
      <c r="J20" s="104"/>
    </row>
    <row r="21" spans="3:10" ht="15.6">
      <c r="C21" s="20" t="s">
        <v>94</v>
      </c>
      <c r="D21" s="71">
        <f>D20/5000</f>
        <v>2816.7751880000001</v>
      </c>
      <c r="E21" s="149" t="s">
        <v>5</v>
      </c>
      <c r="F21" s="32"/>
      <c r="I21" s="16"/>
      <c r="J21" s="104"/>
    </row>
    <row r="22" spans="3:10">
      <c r="C22" s="20" t="s">
        <v>95</v>
      </c>
      <c r="D22" s="31"/>
      <c r="E22" s="32"/>
      <c r="F22" s="32">
        <f>2816*275</f>
        <v>774400</v>
      </c>
      <c r="I22" s="16"/>
      <c r="J22" s="104"/>
    </row>
    <row r="23" spans="3:10" ht="15.6">
      <c r="C23" s="149" t="s">
        <v>5</v>
      </c>
      <c r="D23" s="31"/>
      <c r="E23" s="32" t="s">
        <v>96</v>
      </c>
      <c r="F23" s="73">
        <f>SUM(F18:F22)</f>
        <v>775400</v>
      </c>
      <c r="I23" s="16"/>
      <c r="J23" s="104"/>
    </row>
    <row r="24" spans="3:10">
      <c r="C24" s="20"/>
      <c r="D24" s="31"/>
      <c r="E24" s="32"/>
      <c r="F24" s="32"/>
      <c r="I24" s="16"/>
      <c r="J24" s="104"/>
    </row>
    <row r="25" spans="3:10" ht="15.6">
      <c r="C25" s="20" t="s">
        <v>97</v>
      </c>
      <c r="D25" s="31"/>
      <c r="E25" s="32" t="s">
        <v>98</v>
      </c>
      <c r="F25" s="69">
        <v>275000</v>
      </c>
      <c r="G25" s="149" t="s">
        <v>5</v>
      </c>
      <c r="I25" s="16" t="s">
        <v>99</v>
      </c>
      <c r="J25" s="104"/>
    </row>
    <row r="26" spans="3:10" ht="15" thickBot="1">
      <c r="C26" s="23"/>
      <c r="D26" s="44"/>
      <c r="E26" s="45"/>
      <c r="F26" s="45"/>
      <c r="I26" s="16"/>
      <c r="J26" s="104"/>
    </row>
    <row r="27" spans="3:10" ht="15" thickBot="1">
      <c r="I27" s="16"/>
      <c r="J27" s="104"/>
    </row>
    <row r="28" spans="3:10">
      <c r="C28" s="13" t="s">
        <v>100</v>
      </c>
      <c r="D28" s="37"/>
      <c r="E28" s="37"/>
      <c r="F28" s="38"/>
      <c r="I28" s="16"/>
      <c r="J28" s="104"/>
    </row>
    <row r="29" spans="3:10" ht="15" thickBot="1">
      <c r="C29" s="16" t="s">
        <v>101</v>
      </c>
      <c r="D29" s="39"/>
      <c r="E29" s="39"/>
      <c r="F29" s="40"/>
      <c r="I29" s="16"/>
      <c r="J29" s="144"/>
    </row>
    <row r="30" spans="3:10">
      <c r="C30" s="19"/>
      <c r="D30" s="80"/>
      <c r="E30" s="24"/>
      <c r="F30" s="81"/>
      <c r="G30" s="75"/>
      <c r="I30" s="16"/>
      <c r="J30" s="104"/>
    </row>
    <row r="31" spans="3:10">
      <c r="C31" s="29" t="s">
        <v>86</v>
      </c>
      <c r="D31" s="31"/>
      <c r="E31" s="32"/>
      <c r="F31" s="33"/>
      <c r="I31" s="16"/>
      <c r="J31" s="104"/>
    </row>
    <row r="32" spans="3:10">
      <c r="C32" s="83" t="s">
        <v>102</v>
      </c>
      <c r="D32" s="31"/>
      <c r="E32" s="32"/>
      <c r="F32" s="33"/>
      <c r="I32" s="16"/>
      <c r="J32" s="104"/>
    </row>
    <row r="33" spans="3:10" ht="15.6">
      <c r="C33" s="20" t="s">
        <v>103</v>
      </c>
      <c r="D33" s="31">
        <v>9100000</v>
      </c>
      <c r="E33" s="88">
        <v>0.03</v>
      </c>
      <c r="F33" s="33">
        <f>D33*E33</f>
        <v>273000</v>
      </c>
      <c r="G33" s="149" t="s">
        <v>5</v>
      </c>
      <c r="I33" s="16"/>
      <c r="J33" s="104"/>
    </row>
    <row r="34" spans="3:10" ht="15.6">
      <c r="C34" s="29" t="s">
        <v>104</v>
      </c>
      <c r="D34" s="31">
        <f>'Encumbered Asset Account 1'!E12</f>
        <v>1186956.5217391304</v>
      </c>
      <c r="E34" s="58"/>
      <c r="F34" s="33">
        <f>-(D34*E33*15%)</f>
        <v>-5341.304347826087</v>
      </c>
      <c r="G34" s="149" t="s">
        <v>5</v>
      </c>
      <c r="I34" s="16"/>
      <c r="J34" s="104"/>
    </row>
    <row r="35" spans="3:10">
      <c r="C35" s="35" t="s">
        <v>105</v>
      </c>
      <c r="D35" s="31"/>
      <c r="E35" s="32"/>
      <c r="F35" s="70">
        <f>SUM(F33:F34)</f>
        <v>267658.69565217389</v>
      </c>
      <c r="I35" s="16"/>
      <c r="J35" s="104"/>
    </row>
    <row r="36" spans="3:10">
      <c r="C36" s="35" t="s">
        <v>106</v>
      </c>
      <c r="D36" s="31"/>
      <c r="E36" s="32"/>
      <c r="F36" s="33">
        <f>F35*15%</f>
        <v>40148.804347826081</v>
      </c>
      <c r="I36" s="16"/>
      <c r="J36" s="104"/>
    </row>
    <row r="37" spans="3:10">
      <c r="C37" s="22" t="s">
        <v>107</v>
      </c>
      <c r="D37" s="31"/>
      <c r="E37" s="32"/>
      <c r="F37" s="82">
        <f>SUM(F35:F36)</f>
        <v>307807.5</v>
      </c>
      <c r="I37" s="16"/>
      <c r="J37" s="104"/>
    </row>
    <row r="38" spans="3:10">
      <c r="C38" s="22"/>
      <c r="D38" s="31"/>
      <c r="E38" s="32"/>
      <c r="F38" s="33"/>
      <c r="I38" s="16"/>
      <c r="J38" s="104"/>
    </row>
    <row r="39" spans="3:10">
      <c r="C39" s="77" t="s">
        <v>87</v>
      </c>
      <c r="D39" s="31"/>
      <c r="E39" s="32"/>
      <c r="F39" s="33"/>
      <c r="I39" s="16"/>
      <c r="J39" s="104"/>
    </row>
    <row r="40" spans="3:10">
      <c r="C40" s="83" t="s">
        <v>108</v>
      </c>
      <c r="D40" s="31"/>
      <c r="E40" s="32"/>
      <c r="F40" s="33"/>
      <c r="I40" s="16"/>
      <c r="J40" s="104"/>
    </row>
    <row r="41" spans="3:10" ht="15.6">
      <c r="C41" s="20" t="s">
        <v>109</v>
      </c>
      <c r="D41" s="31">
        <v>3500000</v>
      </c>
      <c r="E41" s="88">
        <v>0.1</v>
      </c>
      <c r="F41" s="33">
        <f>D41*E41</f>
        <v>350000</v>
      </c>
      <c r="G41" s="149" t="s">
        <v>5</v>
      </c>
      <c r="I41" s="16"/>
      <c r="J41" s="104"/>
    </row>
    <row r="42" spans="3:10" ht="15.6">
      <c r="C42" s="29" t="s">
        <v>104</v>
      </c>
      <c r="D42" s="31">
        <f>'Encumbered Asset Account 2'!E11</f>
        <v>456521.73913043475</v>
      </c>
      <c r="E42" s="58"/>
      <c r="F42" s="33">
        <f>-(D42*E41*15%)</f>
        <v>-6847.826086956522</v>
      </c>
      <c r="G42" s="149" t="s">
        <v>5</v>
      </c>
      <c r="I42" s="16"/>
      <c r="J42" s="104"/>
    </row>
    <row r="43" spans="3:10">
      <c r="C43" s="35" t="s">
        <v>105</v>
      </c>
      <c r="D43" s="31"/>
      <c r="E43" s="32"/>
      <c r="F43" s="70">
        <f>SUM(F41:F42)</f>
        <v>343152.17391304346</v>
      </c>
      <c r="I43" s="16"/>
      <c r="J43" s="104"/>
    </row>
    <row r="44" spans="3:10" ht="15.6">
      <c r="C44" s="35" t="s">
        <v>106</v>
      </c>
      <c r="D44" s="31"/>
      <c r="E44" s="32"/>
      <c r="F44" s="33">
        <f>F43*15%</f>
        <v>51472.82608695652</v>
      </c>
      <c r="G44" s="149" t="s">
        <v>5</v>
      </c>
      <c r="I44" s="16"/>
      <c r="J44" s="104"/>
    </row>
    <row r="45" spans="3:10" ht="15.6">
      <c r="C45" s="22" t="s">
        <v>107</v>
      </c>
      <c r="D45" s="31"/>
      <c r="E45" s="32"/>
      <c r="F45" s="82">
        <f>SUM(F43:F44)</f>
        <v>394625</v>
      </c>
      <c r="G45" s="149" t="s">
        <v>5</v>
      </c>
      <c r="I45" s="16"/>
      <c r="J45" s="104"/>
    </row>
    <row r="46" spans="3:10">
      <c r="C46" s="22"/>
      <c r="D46" s="31"/>
      <c r="E46" s="32"/>
      <c r="F46" s="33"/>
      <c r="I46" s="16"/>
      <c r="J46" s="104"/>
    </row>
    <row r="47" spans="3:10">
      <c r="C47" s="77" t="s">
        <v>88</v>
      </c>
      <c r="D47" s="31"/>
      <c r="E47" s="32"/>
      <c r="F47" s="33"/>
      <c r="I47" s="16"/>
      <c r="J47" s="104"/>
    </row>
    <row r="48" spans="3:10">
      <c r="C48" s="83" t="s">
        <v>108</v>
      </c>
      <c r="D48" s="31"/>
      <c r="E48" s="32"/>
      <c r="F48" s="33"/>
      <c r="I48" s="16"/>
      <c r="J48" s="104"/>
    </row>
    <row r="49" spans="3:10" ht="15.6">
      <c r="C49" s="20" t="s">
        <v>109</v>
      </c>
      <c r="D49" s="31">
        <v>1150000</v>
      </c>
      <c r="E49" s="88">
        <v>0.1</v>
      </c>
      <c r="F49" s="33">
        <f>D49*E49</f>
        <v>115000</v>
      </c>
      <c r="G49" s="149" t="s">
        <v>5</v>
      </c>
      <c r="I49" s="16"/>
      <c r="J49" s="104"/>
    </row>
    <row r="50" spans="3:10" ht="15.6">
      <c r="C50" s="29" t="s">
        <v>104</v>
      </c>
      <c r="D50" s="31">
        <f>'Encumbered Asset Account 3'!E11</f>
        <v>150000</v>
      </c>
      <c r="E50" s="58"/>
      <c r="F50" s="33">
        <f>-(D50*E49*15%)</f>
        <v>-2250</v>
      </c>
      <c r="G50" s="149" t="s">
        <v>5</v>
      </c>
      <c r="I50" s="16"/>
      <c r="J50" s="104"/>
    </row>
    <row r="51" spans="3:10">
      <c r="C51" s="35" t="s">
        <v>105</v>
      </c>
      <c r="D51" s="31"/>
      <c r="E51" s="32"/>
      <c r="F51" s="70">
        <f>SUM(F49:F50)</f>
        <v>112750</v>
      </c>
      <c r="I51" s="16"/>
      <c r="J51" s="104"/>
    </row>
    <row r="52" spans="3:10" ht="15.6">
      <c r="C52" s="35" t="s">
        <v>106</v>
      </c>
      <c r="D52" s="31"/>
      <c r="E52" s="32"/>
      <c r="F52" s="33">
        <f>F51*15%</f>
        <v>16912.5</v>
      </c>
      <c r="G52" s="149" t="s">
        <v>5</v>
      </c>
      <c r="I52" s="16"/>
      <c r="J52" s="104"/>
    </row>
    <row r="53" spans="3:10" ht="15.6">
      <c r="C53" s="22" t="s">
        <v>107</v>
      </c>
      <c r="D53" s="31"/>
      <c r="E53" s="32"/>
      <c r="F53" s="82">
        <f>SUM(F51:F52)</f>
        <v>129662.5</v>
      </c>
      <c r="G53" s="149" t="s">
        <v>5</v>
      </c>
      <c r="I53" s="16"/>
      <c r="J53" s="104"/>
    </row>
    <row r="54" spans="3:10">
      <c r="C54" s="22"/>
      <c r="D54" s="31"/>
      <c r="E54" s="32"/>
      <c r="F54" s="33"/>
      <c r="I54" s="16"/>
      <c r="J54" s="104"/>
    </row>
    <row r="55" spans="3:10">
      <c r="C55" s="77" t="s">
        <v>89</v>
      </c>
      <c r="D55" s="31"/>
      <c r="E55" s="32"/>
      <c r="F55" s="33"/>
      <c r="I55" s="16"/>
      <c r="J55" s="104"/>
    </row>
    <row r="56" spans="3:10" ht="28.9">
      <c r="C56" s="90" t="s">
        <v>110</v>
      </c>
      <c r="D56" s="31"/>
      <c r="E56" s="88"/>
      <c r="F56" s="33"/>
      <c r="I56" s="16"/>
      <c r="J56" s="104"/>
    </row>
    <row r="57" spans="3:10">
      <c r="C57" s="20" t="s">
        <v>109</v>
      </c>
      <c r="D57" s="31">
        <f>SUM('Free Residue Account'!H9,'Free Residue Account'!H10,'Free Residue Account'!H12)</f>
        <v>395470.86</v>
      </c>
      <c r="E57" s="88">
        <v>0.1</v>
      </c>
      <c r="F57" s="33">
        <f>D57*E57</f>
        <v>39547.086000000003</v>
      </c>
      <c r="I57" s="16"/>
      <c r="J57" s="104"/>
    </row>
    <row r="58" spans="3:10">
      <c r="C58" s="29" t="s">
        <v>104</v>
      </c>
      <c r="D58" s="31">
        <f>SUM('Free Residue Account'!F9,'Free Residue Account'!F10,'Free Residue Account'!F12)</f>
        <v>51583.155652173911</v>
      </c>
      <c r="E58" s="58"/>
      <c r="F58" s="33">
        <f>-(D58*E57*15%)</f>
        <v>-773.74733478260873</v>
      </c>
      <c r="I58" s="16"/>
      <c r="J58" s="104"/>
    </row>
    <row r="59" spans="3:10">
      <c r="C59" s="35" t="s">
        <v>105</v>
      </c>
      <c r="D59" s="31"/>
      <c r="E59" s="32"/>
      <c r="F59" s="70">
        <f>SUM(F57:F58)</f>
        <v>38773.338665217394</v>
      </c>
      <c r="I59" s="16"/>
      <c r="J59" s="104"/>
    </row>
    <row r="60" spans="3:10">
      <c r="C60" s="35" t="s">
        <v>106</v>
      </c>
      <c r="D60" s="31"/>
      <c r="E60" s="32"/>
      <c r="F60" s="33">
        <f>F59*15%</f>
        <v>5816.0007997826087</v>
      </c>
      <c r="I60" s="16"/>
      <c r="J60" s="104"/>
    </row>
    <row r="61" spans="3:10">
      <c r="C61" s="22" t="s">
        <v>107</v>
      </c>
      <c r="D61" s="31"/>
      <c r="E61" s="32"/>
      <c r="F61" s="82">
        <f>SUM(F59:F60)</f>
        <v>44589.339465000005</v>
      </c>
      <c r="I61" s="16"/>
      <c r="J61" s="104"/>
    </row>
    <row r="62" spans="3:10" ht="15" thickBot="1">
      <c r="C62" s="79"/>
      <c r="D62" s="44"/>
      <c r="E62" s="45"/>
      <c r="F62" s="40"/>
      <c r="I62" s="4">
        <f>SUM(F37,F45,F53,F61)</f>
        <v>876684.33946499997</v>
      </c>
      <c r="J62" s="104"/>
    </row>
    <row r="63" spans="3:10" ht="15" thickBot="1">
      <c r="C63" s="74"/>
      <c r="D63" s="75"/>
      <c r="E63" s="75"/>
      <c r="F63" s="76"/>
      <c r="G63" s="76"/>
      <c r="I63" s="16"/>
      <c r="J63" s="104"/>
    </row>
    <row r="64" spans="3:10">
      <c r="C64" s="13" t="s">
        <v>111</v>
      </c>
      <c r="D64" s="37"/>
      <c r="E64" s="37"/>
      <c r="F64" s="38"/>
      <c r="I64" s="16"/>
      <c r="J64" s="104"/>
    </row>
    <row r="65" spans="3:10" ht="15" thickBot="1">
      <c r="C65" s="16" t="s">
        <v>112</v>
      </c>
      <c r="F65" s="33"/>
      <c r="I65" s="16"/>
      <c r="J65" s="104"/>
    </row>
    <row r="66" spans="3:10">
      <c r="C66" s="85" t="s">
        <v>113</v>
      </c>
      <c r="D66" s="72"/>
      <c r="E66" s="24" t="s">
        <v>42</v>
      </c>
      <c r="F66" s="81"/>
      <c r="G66" s="75"/>
      <c r="I66" s="16"/>
      <c r="J66" s="104"/>
    </row>
    <row r="67" spans="3:10">
      <c r="C67" s="66" t="s">
        <v>114</v>
      </c>
      <c r="D67" s="32"/>
      <c r="E67" s="32"/>
      <c r="F67" s="33"/>
      <c r="I67" s="16"/>
      <c r="J67" s="104"/>
    </row>
    <row r="68" spans="3:10">
      <c r="C68" s="16" t="s">
        <v>109</v>
      </c>
      <c r="D68" s="32">
        <v>88405.08</v>
      </c>
      <c r="E68" s="88">
        <v>0.1</v>
      </c>
      <c r="F68" s="33">
        <f>D68*E68</f>
        <v>8840.5079999999998</v>
      </c>
      <c r="I68" s="16"/>
      <c r="J68" s="104"/>
    </row>
    <row r="69" spans="3:10">
      <c r="C69" s="86" t="s">
        <v>106</v>
      </c>
      <c r="D69" s="32"/>
      <c r="E69" s="32"/>
      <c r="F69" s="33">
        <f>F68*15%</f>
        <v>1326.0762</v>
      </c>
      <c r="I69" s="16"/>
      <c r="J69" s="104"/>
    </row>
    <row r="70" spans="3:10" ht="15" thickBot="1">
      <c r="C70" s="87" t="s">
        <v>107</v>
      </c>
      <c r="D70" s="45"/>
      <c r="E70" s="45"/>
      <c r="F70" s="89">
        <f>SUM(F68:F69)</f>
        <v>10166.584199999999</v>
      </c>
      <c r="I70" s="16"/>
      <c r="J70" s="104"/>
    </row>
    <row r="71" spans="3:10">
      <c r="E71" s="84"/>
      <c r="I71" s="16"/>
      <c r="J71" s="104"/>
    </row>
    <row r="72" spans="3:10">
      <c r="C72" s="78"/>
      <c r="D72" s="75"/>
      <c r="E72" s="75"/>
      <c r="F72" s="76"/>
      <c r="G72" s="76"/>
      <c r="I72" s="16"/>
      <c r="J72" s="104"/>
    </row>
    <row r="73" spans="3:10" ht="15" thickBot="1">
      <c r="I73" s="16"/>
      <c r="J73" s="104"/>
    </row>
    <row r="74" spans="3:10">
      <c r="C74" s="13" t="s">
        <v>115</v>
      </c>
      <c r="D74" s="37"/>
      <c r="E74" s="37"/>
      <c r="F74" s="38"/>
      <c r="I74" s="16"/>
      <c r="J74" s="104"/>
    </row>
    <row r="75" spans="3:10" ht="15" thickBot="1">
      <c r="C75" s="18" t="s">
        <v>116</v>
      </c>
      <c r="D75" s="39"/>
      <c r="E75" s="39"/>
      <c r="F75" s="40"/>
      <c r="I75" s="16"/>
      <c r="J75" s="144"/>
    </row>
    <row r="76" spans="3:10" ht="28.9">
      <c r="C76" s="19" t="s">
        <v>81</v>
      </c>
      <c r="D76" s="11" t="s">
        <v>82</v>
      </c>
      <c r="E76" s="24"/>
      <c r="F76" s="46" t="s">
        <v>117</v>
      </c>
      <c r="G76" s="152"/>
      <c r="I76" s="16"/>
      <c r="J76" s="144"/>
    </row>
    <row r="77" spans="3:10">
      <c r="C77" s="29"/>
      <c r="D77" s="41"/>
      <c r="E77" s="43"/>
      <c r="F77" s="42"/>
      <c r="G77" s="75"/>
      <c r="I77" s="16"/>
      <c r="J77" s="104"/>
    </row>
    <row r="78" spans="3:10" ht="15.6">
      <c r="C78" s="20" t="s">
        <v>87</v>
      </c>
      <c r="D78" s="31">
        <f>D9</f>
        <v>3500000</v>
      </c>
      <c r="E78" s="149" t="s">
        <v>5</v>
      </c>
      <c r="F78" s="33">
        <f>(D78/$D$80)*$I$79</f>
        <v>32563.412579911575</v>
      </c>
      <c r="G78" s="149" t="s">
        <v>5</v>
      </c>
      <c r="I78" s="16"/>
      <c r="J78" s="104"/>
    </row>
    <row r="79" spans="3:10" ht="30.4" customHeight="1">
      <c r="C79" s="20" t="s">
        <v>89</v>
      </c>
      <c r="D79" s="31">
        <f>230894.1+43700</f>
        <v>274594.09999999998</v>
      </c>
      <c r="E79" s="149" t="s">
        <v>5</v>
      </c>
      <c r="F79" s="33">
        <f>(D79/$D$80)*$I$79</f>
        <v>2554.7774200884273</v>
      </c>
      <c r="G79" s="149" t="s">
        <v>5</v>
      </c>
      <c r="I79" s="16">
        <v>35118.19</v>
      </c>
      <c r="J79" s="103" t="s">
        <v>118</v>
      </c>
    </row>
    <row r="80" spans="3:10" ht="16.149999999999999" thickBot="1">
      <c r="C80" s="22" t="s">
        <v>26</v>
      </c>
      <c r="D80" s="34">
        <f>SUM(D78:D79)</f>
        <v>3774594.1</v>
      </c>
      <c r="E80" s="149" t="s">
        <v>5</v>
      </c>
      <c r="F80" s="34">
        <f>SUM(F78:F79)</f>
        <v>35118.19</v>
      </c>
      <c r="G80" s="149" t="s">
        <v>5</v>
      </c>
      <c r="I80" s="16"/>
      <c r="J80" s="144"/>
    </row>
    <row r="81" spans="3:10" ht="15" thickBot="1">
      <c r="C81" s="23"/>
      <c r="D81" s="44"/>
      <c r="E81" s="45"/>
      <c r="F81" s="40"/>
      <c r="I81" s="16"/>
      <c r="J81" s="104"/>
    </row>
    <row r="82" spans="3:10">
      <c r="I82" s="16"/>
      <c r="J82" s="104"/>
    </row>
    <row r="83" spans="3:10" ht="15" thickBot="1">
      <c r="I83" s="16"/>
      <c r="J83" s="104"/>
    </row>
    <row r="84" spans="3:10">
      <c r="C84" s="13" t="s">
        <v>119</v>
      </c>
      <c r="D84" s="37"/>
      <c r="E84" s="37"/>
      <c r="F84" s="38"/>
      <c r="I84" s="16"/>
      <c r="J84" s="104"/>
    </row>
    <row r="85" spans="3:10" ht="15" thickBot="1">
      <c r="C85" s="18" t="s">
        <v>120</v>
      </c>
      <c r="D85" s="39"/>
      <c r="E85" s="39"/>
      <c r="F85" s="40"/>
      <c r="I85" s="16"/>
      <c r="J85" s="104"/>
    </row>
    <row r="86" spans="3:10">
      <c r="C86" s="19" t="s">
        <v>81</v>
      </c>
      <c r="D86" s="11" t="s">
        <v>121</v>
      </c>
      <c r="E86" s="24" t="s">
        <v>122</v>
      </c>
      <c r="F86" s="12" t="s">
        <v>123</v>
      </c>
      <c r="G86" s="131"/>
      <c r="I86" s="16"/>
      <c r="J86" s="104"/>
    </row>
    <row r="87" spans="3:10">
      <c r="C87" s="29"/>
      <c r="D87" s="41"/>
      <c r="E87" s="49"/>
      <c r="F87" s="42"/>
      <c r="G87" s="75"/>
      <c r="I87" s="16"/>
      <c r="J87" s="104"/>
    </row>
    <row r="88" spans="3:10">
      <c r="C88" s="20" t="s">
        <v>86</v>
      </c>
      <c r="D88" s="31">
        <f>'Encumbered Asset Account 1'!E12</f>
        <v>1186956.5217391304</v>
      </c>
      <c r="E88" s="32">
        <f>-SUM('Encumbered Asset Account 1'!E17:E21)</f>
        <v>-99919.843601627421</v>
      </c>
      <c r="F88" s="33">
        <f>SUM(D88:E88)</f>
        <v>1087036.6781375029</v>
      </c>
      <c r="I88" s="16"/>
      <c r="J88" s="104"/>
    </row>
    <row r="89" spans="3:10" ht="15.6">
      <c r="C89" s="20" t="s">
        <v>87</v>
      </c>
      <c r="D89" s="31">
        <f>'Encumbered Asset Account 2'!E11</f>
        <v>456521.73913043475</v>
      </c>
      <c r="E89" s="32">
        <f>-SUM('Encumbered Asset Account 2'!E16:E20)</f>
        <v>-61120.119179945497</v>
      </c>
      <c r="F89" s="33">
        <f t="shared" ref="F89:F91" si="2">SUM(D89:E89)</f>
        <v>395401.61995048926</v>
      </c>
      <c r="G89" s="149" t="s">
        <v>5</v>
      </c>
      <c r="I89" s="16"/>
      <c r="J89" s="104"/>
    </row>
    <row r="90" spans="3:10" ht="15.6">
      <c r="C90" s="20" t="s">
        <v>88</v>
      </c>
      <c r="D90" s="31">
        <f>'Encumbered Asset Account 3'!E11</f>
        <v>150000</v>
      </c>
      <c r="E90" s="32">
        <f>-SUM('Encumbered Asset Account 3'!E16:E18)</f>
        <v>-17460.48847712874</v>
      </c>
      <c r="F90" s="33">
        <f t="shared" si="2"/>
        <v>132539.51152287127</v>
      </c>
      <c r="G90" s="149" t="s">
        <v>5</v>
      </c>
      <c r="I90" s="16"/>
      <c r="J90" s="104"/>
    </row>
    <row r="91" spans="3:10">
      <c r="C91" s="20" t="s">
        <v>89</v>
      </c>
      <c r="D91" s="31">
        <f>SUM('Free Residue Account'!F9:F12)</f>
        <v>51583.155652173911</v>
      </c>
      <c r="E91" s="32">
        <f>-SUM('Free Residue Account'!F16:F30)</f>
        <v>-11359.293132385303</v>
      </c>
      <c r="F91" s="33">
        <f t="shared" si="2"/>
        <v>40223.862519788607</v>
      </c>
      <c r="I91" s="16"/>
      <c r="J91" s="104"/>
    </row>
    <row r="92" spans="3:10" ht="15" thickBot="1">
      <c r="C92" s="22" t="s">
        <v>26</v>
      </c>
      <c r="D92" s="47">
        <f>SUM(D88:D91)</f>
        <v>1845061.4165217392</v>
      </c>
      <c r="E92" s="34">
        <f t="shared" ref="E92" si="3">SUM(E88:E91)</f>
        <v>-189859.74439108695</v>
      </c>
      <c r="F92" s="48">
        <f>SUM(F88:F91)</f>
        <v>1655201.672130652</v>
      </c>
      <c r="G92" s="76"/>
      <c r="I92" s="16"/>
      <c r="J92" s="104"/>
    </row>
    <row r="93" spans="3:10" ht="16.149999999999999" thickBot="1">
      <c r="C93" s="23"/>
      <c r="D93" s="149" t="s">
        <v>5</v>
      </c>
      <c r="E93" s="149" t="s">
        <v>5</v>
      </c>
      <c r="F93" s="149" t="s">
        <v>5</v>
      </c>
      <c r="G93" s="149" t="s">
        <v>5</v>
      </c>
      <c r="I93" s="18"/>
      <c r="J93" s="145"/>
    </row>
  </sheetData>
  <phoneticPr fontId="5" type="noConversion"/>
  <pageMargins left="0.7" right="0.7" top="0.75" bottom="0.75" header="0.3" footer="0.3"/>
  <headerFooter>
    <oddFooter xml:space="preserve">&amp;R_x000D_&amp;1#&amp;"Arial"&amp;8&amp;K000000 Internal Use Only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27496-E6A5-4E75-A1E6-5E703DCAA36B}">
  <dimension ref="B1:M21"/>
  <sheetViews>
    <sheetView topLeftCell="D1" zoomScale="110" zoomScaleNormal="110" workbookViewId="0">
      <selection activeCell="M15" sqref="M15"/>
    </sheetView>
  </sheetViews>
  <sheetFormatPr defaultColWidth="8.7109375" defaultRowHeight="14.45"/>
  <cols>
    <col min="3" max="3" width="42.7109375" bestFit="1" customWidth="1"/>
    <col min="4" max="4" width="17.140625" customWidth="1"/>
    <col min="5" max="5" width="17.7109375" customWidth="1"/>
    <col min="6" max="7" width="17.42578125" customWidth="1"/>
    <col min="8" max="8" width="19.7109375" customWidth="1"/>
    <col min="9" max="10" width="21" customWidth="1"/>
    <col min="11" max="11" width="20.7109375" customWidth="1"/>
    <col min="12" max="12" width="13.7109375" customWidth="1"/>
  </cols>
  <sheetData>
    <row r="1" spans="2:13">
      <c r="C1" t="s">
        <v>0</v>
      </c>
      <c r="L1" s="151">
        <v>4.5</v>
      </c>
    </row>
    <row r="3" spans="2:13">
      <c r="C3" s="2" t="s">
        <v>124</v>
      </c>
    </row>
    <row r="4" spans="2:13" ht="15" thickBot="1"/>
    <row r="5" spans="2:13" s="53" customFormat="1" ht="36.4" customHeight="1" thickBot="1">
      <c r="B5" s="128" t="s">
        <v>125</v>
      </c>
      <c r="C5" s="54" t="s">
        <v>126</v>
      </c>
      <c r="D5" s="60" t="s">
        <v>127</v>
      </c>
      <c r="E5" s="62" t="s">
        <v>128</v>
      </c>
      <c r="F5" s="59" t="s">
        <v>129</v>
      </c>
      <c r="G5" s="127" t="s">
        <v>130</v>
      </c>
      <c r="H5" s="63" t="s">
        <v>131</v>
      </c>
      <c r="I5" s="61" t="s">
        <v>132</v>
      </c>
      <c r="J5" s="127" t="s">
        <v>133</v>
      </c>
      <c r="K5" s="140" t="s">
        <v>134</v>
      </c>
    </row>
    <row r="6" spans="2:13" ht="15.6">
      <c r="B6" s="50">
        <v>1</v>
      </c>
      <c r="C6" s="107" t="s">
        <v>135</v>
      </c>
      <c r="D6" s="114">
        <f>'Encumbered Asset Account 1'!D31</f>
        <v>8946765.3200000003</v>
      </c>
      <c r="E6" s="115">
        <f>D6</f>
        <v>8946765.3200000003</v>
      </c>
      <c r="F6" s="116">
        <v>0</v>
      </c>
      <c r="G6" s="116" t="s">
        <v>136</v>
      </c>
      <c r="H6" s="117">
        <v>0</v>
      </c>
      <c r="I6" s="115">
        <f>'Encumbered Asset Account 1'!F30</f>
        <v>6946200.7178378832</v>
      </c>
      <c r="J6" s="116" t="s">
        <v>137</v>
      </c>
      <c r="K6" s="117">
        <f t="shared" ref="K6:K15" si="0">(H6/$H$17)*$K$19</f>
        <v>0</v>
      </c>
      <c r="L6" s="149" t="s">
        <v>5</v>
      </c>
    </row>
    <row r="7" spans="2:13" ht="15.6">
      <c r="B7" s="51">
        <v>2</v>
      </c>
      <c r="C7" s="108" t="s">
        <v>138</v>
      </c>
      <c r="D7" s="118">
        <f>'Encumbered Asset Account 2'!D32</f>
        <v>3483949.7145175347</v>
      </c>
      <c r="E7" s="119">
        <f>'Encumbered Asset Account 2'!F28</f>
        <v>2568390.4266909016</v>
      </c>
      <c r="F7" s="120">
        <v>0</v>
      </c>
      <c r="G7" s="120" t="s">
        <v>136</v>
      </c>
      <c r="H7" s="121">
        <f>'Encumbered Asset Account 2'!D34</f>
        <v>915559.28782663308</v>
      </c>
      <c r="I7" s="119">
        <f>E7</f>
        <v>2568390.4266909016</v>
      </c>
      <c r="J7" s="120" t="s">
        <v>139</v>
      </c>
      <c r="K7" s="121">
        <f t="shared" si="0"/>
        <v>92939.08479510709</v>
      </c>
      <c r="L7" s="149" t="s">
        <v>5</v>
      </c>
    </row>
    <row r="8" spans="2:13">
      <c r="B8" s="51">
        <v>3</v>
      </c>
      <c r="C8" s="108" t="s">
        <v>140</v>
      </c>
      <c r="D8" s="118">
        <v>17410.61</v>
      </c>
      <c r="E8" s="119">
        <v>0</v>
      </c>
      <c r="F8" s="120">
        <v>0</v>
      </c>
      <c r="G8" s="120" t="s">
        <v>136</v>
      </c>
      <c r="H8" s="121">
        <f>D8</f>
        <v>17410.61</v>
      </c>
      <c r="I8" s="119">
        <v>0</v>
      </c>
      <c r="J8" s="120" t="s">
        <v>136</v>
      </c>
      <c r="K8" s="121">
        <f t="shared" si="0"/>
        <v>1767.3636001942259</v>
      </c>
    </row>
    <row r="9" spans="2:13" ht="15.6">
      <c r="B9" s="51">
        <v>4</v>
      </c>
      <c r="C9" s="108" t="s">
        <v>141</v>
      </c>
      <c r="D9" s="118">
        <f>'Encumbered Asset Account 3'!D30</f>
        <v>1386725.9376883563</v>
      </c>
      <c r="E9" s="119">
        <f>'Encumbered Asset Account 3'!F27</f>
        <v>861378.6209355566</v>
      </c>
      <c r="F9" s="120">
        <v>0</v>
      </c>
      <c r="G9" s="120" t="s">
        <v>136</v>
      </c>
      <c r="H9" s="121">
        <f>'Encumbered Asset Account 3'!D32</f>
        <v>525347.31675279967</v>
      </c>
      <c r="I9" s="119">
        <f>'Encumbered Asset Account 3'!F27</f>
        <v>861378.6209355566</v>
      </c>
      <c r="J9" s="120" t="s">
        <v>142</v>
      </c>
      <c r="K9" s="121">
        <f t="shared" si="0"/>
        <v>53328.385684855624</v>
      </c>
      <c r="L9" s="149" t="s">
        <v>5</v>
      </c>
    </row>
    <row r="10" spans="2:13" ht="15.6">
      <c r="B10" s="51">
        <v>5</v>
      </c>
      <c r="C10" s="108" t="s">
        <v>143</v>
      </c>
      <c r="D10" s="118">
        <f>'Free Residue Account'!G48+'Free Residue Account'!G49</f>
        <v>137186.64000000001</v>
      </c>
      <c r="E10" s="119">
        <v>0</v>
      </c>
      <c r="F10" s="120">
        <f>'Free Residue Account'!G48+'Free Residue Account'!G49</f>
        <v>137186.64000000001</v>
      </c>
      <c r="G10" s="120" t="s">
        <v>144</v>
      </c>
      <c r="H10" s="121">
        <v>0</v>
      </c>
      <c r="I10" s="119">
        <f>'Free Residue Account'!G48+'Free Residue Account'!G49</f>
        <v>137186.64000000001</v>
      </c>
      <c r="J10" s="120" t="s">
        <v>145</v>
      </c>
      <c r="K10" s="121">
        <f t="shared" si="0"/>
        <v>0</v>
      </c>
      <c r="L10" s="149" t="s">
        <v>5</v>
      </c>
    </row>
    <row r="11" spans="2:13">
      <c r="B11" s="51">
        <v>6</v>
      </c>
      <c r="C11" s="108" t="s">
        <v>146</v>
      </c>
      <c r="D11" s="118">
        <v>3668.29</v>
      </c>
      <c r="E11" s="119">
        <v>0</v>
      </c>
      <c r="F11" s="120">
        <v>0</v>
      </c>
      <c r="G11" s="120" t="s">
        <v>136</v>
      </c>
      <c r="H11" s="121">
        <f>D11</f>
        <v>3668.29</v>
      </c>
      <c r="I11" s="119">
        <v>0</v>
      </c>
      <c r="J11" s="120" t="s">
        <v>136</v>
      </c>
      <c r="K11" s="121">
        <f t="shared" si="0"/>
        <v>372.37076822446062</v>
      </c>
    </row>
    <row r="12" spans="2:13" ht="28.9">
      <c r="B12" s="51">
        <v>7</v>
      </c>
      <c r="C12" s="108" t="s">
        <v>147</v>
      </c>
      <c r="D12" s="118">
        <f>(12000*4)+6000</f>
        <v>54000</v>
      </c>
      <c r="E12" s="119">
        <v>0</v>
      </c>
      <c r="F12" s="120">
        <f>'Free Residue Account'!D42+'Free Residue Account'!D43</f>
        <v>16000</v>
      </c>
      <c r="G12" s="130" t="s">
        <v>148</v>
      </c>
      <c r="H12" s="121">
        <f>D12-F12</f>
        <v>38000</v>
      </c>
      <c r="I12" s="119">
        <f>'Free Residue Account'!D42+'Free Residue Account'!D43</f>
        <v>16000</v>
      </c>
      <c r="J12" s="120" t="s">
        <v>145</v>
      </c>
      <c r="K12" s="121">
        <f t="shared" si="0"/>
        <v>3857.4074548439471</v>
      </c>
      <c r="L12" s="149" t="s">
        <v>5</v>
      </c>
    </row>
    <row r="13" spans="2:13">
      <c r="B13" s="51">
        <v>8</v>
      </c>
      <c r="C13" s="108" t="s">
        <v>149</v>
      </c>
      <c r="D13" s="118">
        <v>100000</v>
      </c>
      <c r="E13" s="119">
        <v>0</v>
      </c>
      <c r="F13" s="120">
        <v>0</v>
      </c>
      <c r="G13" s="120" t="s">
        <v>150</v>
      </c>
      <c r="H13" s="121">
        <f>D13</f>
        <v>100000</v>
      </c>
      <c r="I13" s="119">
        <v>0</v>
      </c>
      <c r="J13" s="120" t="s">
        <v>136</v>
      </c>
      <c r="K13" s="121">
        <f t="shared" si="0"/>
        <v>10151.072249589335</v>
      </c>
    </row>
    <row r="14" spans="2:13">
      <c r="B14" s="51">
        <v>9</v>
      </c>
      <c r="C14" s="108" t="s">
        <v>151</v>
      </c>
      <c r="D14" s="118">
        <v>72000</v>
      </c>
      <c r="E14" s="119">
        <v>0</v>
      </c>
      <c r="F14" s="120">
        <v>0</v>
      </c>
      <c r="G14" s="120" t="s">
        <v>150</v>
      </c>
      <c r="H14" s="121">
        <f>D14</f>
        <v>72000</v>
      </c>
      <c r="I14" s="119">
        <v>0</v>
      </c>
      <c r="J14" s="120" t="s">
        <v>136</v>
      </c>
      <c r="K14" s="121">
        <f t="shared" si="0"/>
        <v>7308.7720197043209</v>
      </c>
    </row>
    <row r="15" spans="2:13" ht="15.6">
      <c r="B15" s="51">
        <v>10</v>
      </c>
      <c r="C15" s="108" t="s">
        <v>152</v>
      </c>
      <c r="D15" s="118">
        <f>3000*4</f>
        <v>12000</v>
      </c>
      <c r="E15" s="119">
        <v>0</v>
      </c>
      <c r="F15" s="120">
        <f>'Free Residue Account'!E42</f>
        <v>9000</v>
      </c>
      <c r="G15" s="120" t="s">
        <v>153</v>
      </c>
      <c r="H15" s="121">
        <f>D15-F15</f>
        <v>3000</v>
      </c>
      <c r="I15" s="119">
        <f>'Free Residue Account'!E42</f>
        <v>9000</v>
      </c>
      <c r="J15" s="120" t="s">
        <v>145</v>
      </c>
      <c r="K15" s="121">
        <f t="shared" si="0"/>
        <v>304.53216748768006</v>
      </c>
      <c r="L15" s="149" t="s">
        <v>5</v>
      </c>
      <c r="M15" s="149" t="s">
        <v>5</v>
      </c>
    </row>
    <row r="16" spans="2:13" ht="15" thickBot="1">
      <c r="B16" s="52"/>
      <c r="C16" s="111"/>
      <c r="D16" s="122"/>
      <c r="E16" s="123"/>
      <c r="F16" s="124"/>
      <c r="G16" s="124"/>
      <c r="H16" s="125"/>
      <c r="I16" s="123"/>
      <c r="J16" s="124"/>
      <c r="K16" s="125"/>
    </row>
    <row r="17" spans="2:11" ht="15" thickBot="1">
      <c r="B17" s="110"/>
      <c r="C17" s="109" t="s">
        <v>154</v>
      </c>
      <c r="D17" s="126">
        <f>SUM(D6:D16)</f>
        <v>14213706.512205889</v>
      </c>
      <c r="E17" s="126">
        <f t="shared" ref="E17:K17" si="1">SUM(E6:E16)</f>
        <v>12376534.36762646</v>
      </c>
      <c r="F17" s="126">
        <f t="shared" si="1"/>
        <v>162186.64000000001</v>
      </c>
      <c r="G17" s="126"/>
      <c r="H17" s="126">
        <f t="shared" si="1"/>
        <v>1674985.5045794328</v>
      </c>
      <c r="I17" s="126">
        <f t="shared" si="1"/>
        <v>10538156.405464342</v>
      </c>
      <c r="J17" s="126"/>
      <c r="K17" s="134">
        <f t="shared" si="1"/>
        <v>170028.98874000669</v>
      </c>
    </row>
    <row r="19" spans="2:11" ht="28.9">
      <c r="C19" t="s">
        <v>155</v>
      </c>
      <c r="D19" s="135" t="s">
        <v>156</v>
      </c>
      <c r="E19" s="136">
        <f>'Free Residue Account'!E51/'Distribution Account'!H17</f>
        <v>0.10151072249589335</v>
      </c>
      <c r="J19" s="138" t="s">
        <v>157</v>
      </c>
      <c r="K19" s="139">
        <f>'Free Residue Account'!E51</f>
        <v>170028.98874000669</v>
      </c>
    </row>
    <row r="20" spans="2:11" ht="15.6">
      <c r="G20" s="149" t="s">
        <v>5</v>
      </c>
      <c r="H20" s="149" t="s">
        <v>5</v>
      </c>
    </row>
    <row r="21" spans="2:11">
      <c r="C21" s="137" t="s">
        <v>158</v>
      </c>
    </row>
  </sheetData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7C6A-870A-4B10-A538-968E844AE8B1}">
  <dimension ref="C1:H37"/>
  <sheetViews>
    <sheetView zoomScale="110" zoomScaleNormal="110" workbookViewId="0">
      <selection activeCell="J5" sqref="J5"/>
    </sheetView>
  </sheetViews>
  <sheetFormatPr defaultColWidth="8.7109375" defaultRowHeight="14.45"/>
  <cols>
    <col min="3" max="3" width="45.140625" bestFit="1" customWidth="1"/>
    <col min="4" max="4" width="17.7109375" customWidth="1"/>
    <col min="5" max="5" width="17.140625" customWidth="1"/>
    <col min="7" max="7" width="10.7109375" bestFit="1" customWidth="1"/>
  </cols>
  <sheetData>
    <row r="1" spans="3:8">
      <c r="C1" t="s">
        <v>0</v>
      </c>
    </row>
    <row r="2" spans="3:8">
      <c r="H2" s="151">
        <v>3</v>
      </c>
    </row>
    <row r="3" spans="3:8" ht="15" thickBot="1">
      <c r="D3" s="3"/>
      <c r="E3" s="3"/>
    </row>
    <row r="4" spans="3:8">
      <c r="C4" s="146" t="s">
        <v>159</v>
      </c>
      <c r="D4" s="14"/>
      <c r="E4" s="15"/>
    </row>
    <row r="5" spans="3:8" ht="15" thickBot="1">
      <c r="C5" s="18"/>
      <c r="D5" s="9"/>
      <c r="E5" s="10"/>
    </row>
    <row r="6" spans="3:8">
      <c r="C6" s="19" t="s">
        <v>6</v>
      </c>
      <c r="D6" s="24" t="s">
        <v>9</v>
      </c>
      <c r="E6" s="12" t="s">
        <v>10</v>
      </c>
    </row>
    <row r="7" spans="3:8">
      <c r="C7" s="20"/>
      <c r="D7" s="25"/>
      <c r="E7" s="5"/>
    </row>
    <row r="8" spans="3:8" ht="28.9">
      <c r="C8" s="64" t="s">
        <v>160</v>
      </c>
      <c r="D8" s="25"/>
      <c r="E8" s="5">
        <v>13552455.810000001</v>
      </c>
      <c r="G8" s="149" t="s">
        <v>5</v>
      </c>
      <c r="H8" s="149" t="s">
        <v>5</v>
      </c>
    </row>
    <row r="9" spans="3:8">
      <c r="C9" s="64"/>
      <c r="D9" s="25"/>
      <c r="E9" s="5"/>
    </row>
    <row r="10" spans="3:8">
      <c r="C10" s="147" t="s">
        <v>161</v>
      </c>
      <c r="D10" s="25"/>
      <c r="E10" s="5"/>
    </row>
    <row r="11" spans="3:8" ht="28.9">
      <c r="C11" s="64" t="s">
        <v>162</v>
      </c>
      <c r="D11" s="25"/>
      <c r="E11" s="5">
        <f>'Free Residue Account'!H9+'Free Residue Account'!H10</f>
        <v>274594.09999999998</v>
      </c>
    </row>
    <row r="12" spans="3:8">
      <c r="C12" s="64"/>
      <c r="D12" s="25"/>
      <c r="E12" s="5"/>
    </row>
    <row r="13" spans="3:8">
      <c r="C13" s="64"/>
      <c r="D13" s="25"/>
      <c r="E13" s="5"/>
    </row>
    <row r="14" spans="3:8">
      <c r="C14" s="147" t="s">
        <v>163</v>
      </c>
      <c r="D14" s="25"/>
      <c r="E14" s="5"/>
    </row>
    <row r="15" spans="3:8">
      <c r="C15" s="64" t="s">
        <v>164</v>
      </c>
      <c r="D15" s="25">
        <v>26000</v>
      </c>
      <c r="E15" s="5"/>
    </row>
    <row r="16" spans="3:8">
      <c r="C16" s="64" t="s">
        <v>165</v>
      </c>
      <c r="D16" s="25">
        <f>'Calculation Schedules'!F25</f>
        <v>275000</v>
      </c>
      <c r="E16" s="5"/>
    </row>
    <row r="17" spans="3:8">
      <c r="C17" s="64" t="s">
        <v>166</v>
      </c>
      <c r="D17" s="25">
        <f>'Calculation Schedules'!I62+'Calculation Schedules'!F70</f>
        <v>886850.92366500001</v>
      </c>
      <c r="E17" s="5"/>
    </row>
    <row r="18" spans="3:8">
      <c r="C18" s="64" t="s">
        <v>167</v>
      </c>
      <c r="D18" s="57">
        <v>37.82</v>
      </c>
      <c r="E18" s="5"/>
    </row>
    <row r="19" spans="3:8">
      <c r="C19" s="64" t="s">
        <v>168</v>
      </c>
      <c r="D19" s="25">
        <v>150</v>
      </c>
      <c r="E19" s="5"/>
    </row>
    <row r="20" spans="3:8">
      <c r="C20" s="64" t="s">
        <v>169</v>
      </c>
      <c r="D20" s="25">
        <f>'Calculation Schedules'!F92</f>
        <v>1655201.672130652</v>
      </c>
      <c r="E20" s="25"/>
    </row>
    <row r="21" spans="3:8">
      <c r="C21" s="64" t="s">
        <v>170</v>
      </c>
      <c r="D21" s="25">
        <f>'Free Residue Account'!G20</f>
        <v>2554.7774200884273</v>
      </c>
      <c r="E21" s="25"/>
    </row>
    <row r="22" spans="3:8" ht="15.6">
      <c r="C22" s="64" t="s">
        <v>57</v>
      </c>
      <c r="D22" s="25">
        <v>1030</v>
      </c>
      <c r="E22" s="25"/>
      <c r="G22" s="149" t="s">
        <v>5</v>
      </c>
      <c r="H22" s="149" t="s">
        <v>5</v>
      </c>
    </row>
    <row r="23" spans="3:8">
      <c r="C23" s="64"/>
      <c r="D23" s="25"/>
      <c r="E23" s="25"/>
    </row>
    <row r="24" spans="3:8">
      <c r="C24" s="64"/>
      <c r="D24" s="25"/>
      <c r="E24" s="25"/>
    </row>
    <row r="25" spans="3:8">
      <c r="C25" s="147" t="s">
        <v>171</v>
      </c>
      <c r="D25" s="25"/>
      <c r="E25" s="25"/>
    </row>
    <row r="26" spans="3:8">
      <c r="C26" s="64" t="s">
        <v>172</v>
      </c>
      <c r="D26" s="25">
        <f>'Distribution Account'!I6</f>
        <v>6946200.7178378832</v>
      </c>
      <c r="E26" s="25"/>
    </row>
    <row r="27" spans="3:8">
      <c r="C27" s="64" t="s">
        <v>173</v>
      </c>
      <c r="D27" s="25">
        <f>'Distribution Account'!I7</f>
        <v>2568390.4266909016</v>
      </c>
      <c r="E27" s="25"/>
    </row>
    <row r="28" spans="3:8">
      <c r="C28" s="64" t="s">
        <v>174</v>
      </c>
      <c r="D28" s="25">
        <f>'Distribution Account'!I9</f>
        <v>861378.6209355566</v>
      </c>
      <c r="E28" s="25"/>
    </row>
    <row r="29" spans="3:8">
      <c r="C29" s="64"/>
      <c r="D29" s="25"/>
      <c r="E29" s="25"/>
    </row>
    <row r="30" spans="3:8">
      <c r="C30" s="148" t="s">
        <v>145</v>
      </c>
      <c r="D30" s="25"/>
      <c r="E30" s="25"/>
    </row>
    <row r="31" spans="3:8">
      <c r="C31" s="64" t="s">
        <v>175</v>
      </c>
      <c r="D31" s="25">
        <f>'Distribution Account'!I10</f>
        <v>137186.64000000001</v>
      </c>
      <c r="E31" s="25"/>
    </row>
    <row r="32" spans="3:8">
      <c r="C32" s="64" t="s">
        <v>176</v>
      </c>
      <c r="D32" s="25">
        <f>'Distribution Account'!I12</f>
        <v>16000</v>
      </c>
      <c r="E32" s="25"/>
    </row>
    <row r="33" spans="3:8" ht="15.6">
      <c r="C33" s="64" t="s">
        <v>177</v>
      </c>
      <c r="D33" s="25">
        <f>'Distribution Account'!I15</f>
        <v>9000</v>
      </c>
      <c r="E33" s="25"/>
      <c r="G33" s="149" t="s">
        <v>5</v>
      </c>
      <c r="H33" s="149" t="s">
        <v>5</v>
      </c>
    </row>
    <row r="34" spans="3:8">
      <c r="C34" s="64"/>
      <c r="D34" s="25"/>
      <c r="E34" s="25"/>
    </row>
    <row r="35" spans="3:8">
      <c r="C35" s="64" t="s">
        <v>70</v>
      </c>
      <c r="D35" s="25">
        <f>'Distribution Account'!K17</f>
        <v>170028.98874000669</v>
      </c>
      <c r="E35" s="5"/>
    </row>
    <row r="36" spans="3:8" ht="15" thickBot="1">
      <c r="C36" s="22" t="s">
        <v>26</v>
      </c>
      <c r="D36" s="27">
        <f>SUM(D8:D35)</f>
        <v>13555010.587420091</v>
      </c>
      <c r="E36" s="7">
        <f>SUM(E8:E35)</f>
        <v>13827049.91</v>
      </c>
      <c r="G36" s="3"/>
    </row>
    <row r="37" spans="3:8" ht="15" thickBot="1">
      <c r="C37" s="23"/>
      <c r="D37" s="28"/>
      <c r="E37" s="10"/>
    </row>
  </sheetData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7F7206F1EE55429EB5AA074FE10A67" ma:contentTypeVersion="12" ma:contentTypeDescription="Create a new document." ma:contentTypeScope="" ma:versionID="741be90d3128e3b0fd625eec8175b39f">
  <xsd:schema xmlns:xsd="http://www.w3.org/2001/XMLSchema" xmlns:xs="http://www.w3.org/2001/XMLSchema" xmlns:p="http://schemas.microsoft.com/office/2006/metadata/properties" xmlns:ns2="dac9a443-8d88-4550-8b1d-ec98a50d73a1" xmlns:ns3="612f66ad-72bb-4b79-b69e-c3800ca531fd" targetNamespace="http://schemas.microsoft.com/office/2006/metadata/properties" ma:root="true" ma:fieldsID="41ec6569a530e76ce2c0b4dd44cee165" ns2:_="" ns3:_="">
    <xsd:import namespace="dac9a443-8d88-4550-8b1d-ec98a50d73a1"/>
    <xsd:import namespace="612f66ad-72bb-4b79-b69e-c3800ca53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9a443-8d88-4550-8b1d-ec98a50d7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fd00175-ead4-462a-bd62-8aa33dd99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f66ad-72bb-4b79-b69e-c3800ca531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9a2a8d1-b1a7-495b-b6bb-1b4b90aee56c}" ma:internalName="TaxCatchAll" ma:showField="CatchAllData" ma:web="612f66ad-72bb-4b79-b69e-c3800ca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2f66ad-72bb-4b79-b69e-c3800ca531fd" xsi:nil="true"/>
    <lcf76f155ced4ddcb4097134ff3c332f xmlns="dac9a443-8d88-4550-8b1d-ec98a50d73a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1D040DE-636C-4297-A098-882E3B04A193}"/>
</file>

<file path=customXml/itemProps2.xml><?xml version="1.0" encoding="utf-8"?>
<ds:datastoreItem xmlns:ds="http://schemas.openxmlformats.org/officeDocument/2006/customXml" ds:itemID="{A35D523C-E882-4C41-88B1-9F0E8F8E861E}"/>
</file>

<file path=customXml/itemProps3.xml><?xml version="1.0" encoding="utf-8"?>
<ds:datastoreItem xmlns:ds="http://schemas.openxmlformats.org/officeDocument/2006/customXml" ds:itemID="{A056C483-1531-41B0-B453-D1A45ABB6E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Tshepo Ramookho</dc:creator>
  <cp:keywords/>
  <dc:description/>
  <cp:lastModifiedBy>Brenda Bennett</cp:lastModifiedBy>
  <cp:revision/>
  <dcterms:created xsi:type="dcterms:W3CDTF">2023-11-28T09:41:26Z</dcterms:created>
  <dcterms:modified xsi:type="dcterms:W3CDTF">2023-12-12T10:33:08Z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72465d-1877-49eb-a3f7-92ffca8be8c5_Enabled">
    <vt:lpwstr>true</vt:lpwstr>
  </property>
  <property fmtid="{D5CDD505-2E9C-101B-9397-08002B2CF9AE}" pid="3" name="MSIP_Label_9e72465d-1877-49eb-a3f7-92ffca8be8c5_SetDate">
    <vt:lpwstr>2023-11-28T09:42:33Z</vt:lpwstr>
  </property>
  <property fmtid="{D5CDD505-2E9C-101B-9397-08002B2CF9AE}" pid="4" name="MSIP_Label_9e72465d-1877-49eb-a3f7-92ffca8be8c5_Method">
    <vt:lpwstr>Standard</vt:lpwstr>
  </property>
  <property fmtid="{D5CDD505-2E9C-101B-9397-08002B2CF9AE}" pid="5" name="MSIP_Label_9e72465d-1877-49eb-a3f7-92ffca8be8c5_Name">
    <vt:lpwstr>9e72465d-1877-49eb-a3f7-92ffca8be8c5</vt:lpwstr>
  </property>
  <property fmtid="{D5CDD505-2E9C-101B-9397-08002B2CF9AE}" pid="6" name="MSIP_Label_9e72465d-1877-49eb-a3f7-92ffca8be8c5_SiteId">
    <vt:lpwstr>06fdb25e-a78c-4818-a304-562007fd761b</vt:lpwstr>
  </property>
  <property fmtid="{D5CDD505-2E9C-101B-9397-08002B2CF9AE}" pid="7" name="MSIP_Label_9e72465d-1877-49eb-a3f7-92ffca8be8c5_ActionId">
    <vt:lpwstr>320bd71f-6172-423f-9eb4-e410cdb10671</vt:lpwstr>
  </property>
  <property fmtid="{D5CDD505-2E9C-101B-9397-08002B2CF9AE}" pid="8" name="MSIP_Label_9e72465d-1877-49eb-a3f7-92ffca8be8c5_ContentBits">
    <vt:lpwstr>2</vt:lpwstr>
  </property>
  <property fmtid="{D5CDD505-2E9C-101B-9397-08002B2CF9AE}" pid="9" name="ContentTypeId">
    <vt:lpwstr>0x010100577F7206F1EE55429EB5AA074FE10A67</vt:lpwstr>
  </property>
  <property fmtid="{D5CDD505-2E9C-101B-9397-08002B2CF9AE}" pid="10" name="MediaServiceImageTags">
    <vt:lpwstr/>
  </property>
</Properties>
</file>