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10" documentId="13_ncr:1_{0E3E26C6-800A-4963-8E75-8A2D90FDD4CE}" xr6:coauthVersionLast="47" xr6:coauthVersionMax="47" xr10:uidLastSave="{AE05AE31-7D1D-4B58-A748-F47F2FD30F39}"/>
  <bookViews>
    <workbookView xWindow="-108" yWindow="-108" windowWidth="23256" windowHeight="12576" xr2:uid="{624CEB57-3C2E-41C2-A402-AB7DB2BC7558}"/>
  </bookViews>
  <sheets>
    <sheet name="Schedules" sheetId="2" r:id="rId1"/>
    <sheet name="Encumbered Asset 1" sheetId="3" r:id="rId2"/>
    <sheet name="Encumbered Asset 2" sheetId="6" r:id="rId3"/>
    <sheet name="Encumbered Asset 3" sheetId="7" r:id="rId4"/>
    <sheet name="Free Residue" sheetId="4" r:id="rId5"/>
    <sheet name="L +D Account" sheetId="5" r:id="rId6"/>
    <sheet name="Bank Reconciliation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D14" i="3"/>
  <c r="C25" i="8"/>
  <c r="C24" i="8"/>
  <c r="C14" i="8"/>
  <c r="D29" i="8"/>
  <c r="G12" i="5"/>
  <c r="D11" i="5"/>
  <c r="G10" i="5"/>
  <c r="F9" i="5"/>
  <c r="H9" i="5" s="1"/>
  <c r="G7" i="5"/>
  <c r="E34" i="4"/>
  <c r="F26" i="7"/>
  <c r="F28" i="6"/>
  <c r="F29" i="3"/>
  <c r="F48" i="4"/>
  <c r="D28" i="4"/>
  <c r="D24" i="4"/>
  <c r="D14" i="6"/>
  <c r="C65" i="2"/>
  <c r="C64" i="2"/>
  <c r="C52" i="2"/>
  <c r="E17" i="4"/>
  <c r="D17" i="4" s="1"/>
  <c r="C45" i="2"/>
  <c r="E45" i="2" s="1"/>
  <c r="D20" i="2"/>
  <c r="D21" i="2" s="1"/>
  <c r="C11" i="2"/>
  <c r="C10" i="2"/>
  <c r="C9" i="2"/>
  <c r="C8" i="2"/>
  <c r="D9" i="4"/>
  <c r="D7" i="7"/>
  <c r="D7" i="4"/>
  <c r="D12" i="2"/>
  <c r="C75" i="2" l="1"/>
  <c r="C46" i="2"/>
  <c r="G11" i="5"/>
  <c r="H11" i="5"/>
  <c r="E33" i="4"/>
  <c r="C23" i="8"/>
  <c r="C66" i="2"/>
  <c r="E52" i="2"/>
  <c r="C38" i="2"/>
  <c r="E38" i="2" s="1"/>
  <c r="C31" i="2"/>
  <c r="E31" i="2" s="1"/>
  <c r="G13" i="5"/>
  <c r="D27" i="4"/>
  <c r="D26" i="4"/>
  <c r="D25" i="4"/>
  <c r="D23" i="4"/>
  <c r="D22" i="4"/>
  <c r="D19" i="4"/>
  <c r="C11" i="8"/>
  <c r="D6" i="4"/>
  <c r="C76" i="2" s="1"/>
  <c r="D7" i="6"/>
  <c r="D7" i="3"/>
  <c r="C73" i="2" s="1"/>
  <c r="C74" i="2" l="1"/>
  <c r="C32" i="2"/>
  <c r="E32" i="2" s="1"/>
  <c r="E33" i="2" s="1"/>
  <c r="D64" i="2"/>
  <c r="E13" i="6" s="1"/>
  <c r="D13" i="6" s="1"/>
  <c r="D65" i="2"/>
  <c r="E18" i="4" s="1"/>
  <c r="D18" i="4" s="1"/>
  <c r="C53" i="2"/>
  <c r="E53" i="2" s="1"/>
  <c r="E54" i="2" s="1"/>
  <c r="E55" i="2" s="1"/>
  <c r="D16" i="4" s="1"/>
  <c r="C39" i="2"/>
  <c r="E39" i="2" s="1"/>
  <c r="E40" i="2" s="1"/>
  <c r="E41" i="2" s="1"/>
  <c r="D12" i="6" s="1"/>
  <c r="E46" i="2" s="1"/>
  <c r="E47" i="2" s="1"/>
  <c r="C24" i="6"/>
  <c r="C22" i="3"/>
  <c r="C23" i="3" s="1"/>
  <c r="C22" i="7"/>
  <c r="C12" i="2"/>
  <c r="C77" i="2" l="1"/>
  <c r="E48" i="2"/>
  <c r="E34" i="2"/>
  <c r="E35" i="2" s="1"/>
  <c r="C19" i="7"/>
  <c r="C20" i="7" s="1"/>
  <c r="C21" i="6"/>
  <c r="C22" i="6" s="1"/>
  <c r="E9" i="2"/>
  <c r="E11" i="6" s="1"/>
  <c r="D11" i="6" s="1"/>
  <c r="E15" i="6" s="1"/>
  <c r="C16" i="2"/>
  <c r="C18" i="2" s="1"/>
  <c r="C19" i="2" s="1"/>
  <c r="D8" i="2"/>
  <c r="E11" i="3" s="1"/>
  <c r="D10" i="2"/>
  <c r="E10" i="7" s="1"/>
  <c r="E11" i="2"/>
  <c r="E14" i="4" s="1"/>
  <c r="E8" i="2"/>
  <c r="E12" i="3" s="1"/>
  <c r="D12" i="3" s="1"/>
  <c r="E10" i="2"/>
  <c r="E11" i="7" s="1"/>
  <c r="D11" i="7" s="1"/>
  <c r="D9" i="2"/>
  <c r="E10" i="6" s="1"/>
  <c r="D11" i="2"/>
  <c r="E13" i="4" s="1"/>
  <c r="E42" i="2"/>
  <c r="E12" i="6" s="1"/>
  <c r="E56" i="2"/>
  <c r="E16" i="4" s="1"/>
  <c r="E49" i="2" l="1"/>
  <c r="E12" i="7" s="1"/>
  <c r="D12" i="7"/>
  <c r="E13" i="7" s="1"/>
  <c r="D14" i="4"/>
  <c r="E29" i="4" s="1"/>
  <c r="D13" i="3"/>
  <c r="E16" i="3" s="1"/>
  <c r="E75" i="2" l="1"/>
  <c r="D75" i="2" s="1"/>
  <c r="E14" i="7"/>
  <c r="E17" i="7" s="1"/>
  <c r="E76" i="2"/>
  <c r="D76" i="2" s="1"/>
  <c r="E74" i="2"/>
  <c r="D74" i="2" s="1"/>
  <c r="C12" i="8"/>
  <c r="E16" i="6"/>
  <c r="E13" i="3"/>
  <c r="E30" i="4" l="1"/>
  <c r="E46" i="4" s="1"/>
  <c r="E48" i="4" s="1"/>
  <c r="E73" i="2"/>
  <c r="D73" i="2" s="1"/>
  <c r="D77" i="2" s="1"/>
  <c r="C20" i="8"/>
  <c r="E8" i="5"/>
  <c r="C24" i="7"/>
  <c r="G8" i="5" s="1"/>
  <c r="E26" i="7"/>
  <c r="H8" i="5"/>
  <c r="E19" i="6"/>
  <c r="E17" i="3"/>
  <c r="E20" i="3" s="1"/>
  <c r="H10" i="5"/>
  <c r="C27" i="8" l="1"/>
  <c r="E77" i="2"/>
  <c r="C15" i="8" s="1"/>
  <c r="E28" i="6"/>
  <c r="E6" i="5"/>
  <c r="H6" i="5" s="1"/>
  <c r="C19" i="8"/>
  <c r="C26" i="6"/>
  <c r="E29" i="3" l="1"/>
  <c r="E5" i="5"/>
  <c r="H5" i="5" s="1"/>
  <c r="G6" i="5"/>
  <c r="G15" i="5" s="1"/>
  <c r="C18" i="8"/>
  <c r="H15" i="5"/>
  <c r="C29" i="8"/>
  <c r="G17" i="5" l="1"/>
  <c r="I3" i="5"/>
  <c r="I5" i="5"/>
  <c r="I8" i="5" l="1"/>
  <c r="I11" i="5"/>
  <c r="I14" i="5"/>
  <c r="I7" i="5"/>
  <c r="I10" i="5"/>
  <c r="I12" i="5"/>
  <c r="I9" i="5"/>
  <c r="I6" i="5"/>
  <c r="I13" i="5"/>
  <c r="I15" i="5" l="1"/>
  <c r="I17" i="5" s="1"/>
</calcChain>
</file>

<file path=xl/sharedStrings.xml><?xml version="1.0" encoding="utf-8"?>
<sst xmlns="http://schemas.openxmlformats.org/spreadsheetml/2006/main" count="381" uniqueCount="158">
  <si>
    <t>TOTAL = 75</t>
  </si>
  <si>
    <t>Schedule A</t>
  </si>
  <si>
    <t>Pro Rata Apportionment of Master's Fees and Bond Security Premium</t>
  </si>
  <si>
    <t>Account</t>
  </si>
  <si>
    <t>Gross Proceeds</t>
  </si>
  <si>
    <t>Master's Fees</t>
  </si>
  <si>
    <t>Bond Premium</t>
  </si>
  <si>
    <t>Encumbered Asset 1</t>
  </si>
  <si>
    <t xml:space="preserve">Encumbered Asset 2 </t>
  </si>
  <si>
    <t>Ϟ</t>
  </si>
  <si>
    <t xml:space="preserve">Encumbered Asset 3 </t>
  </si>
  <si>
    <t xml:space="preserve">Free Residue </t>
  </si>
  <si>
    <t>Totals</t>
  </si>
  <si>
    <t>Master's fee calculation:</t>
  </si>
  <si>
    <t>Gross Value of Estate</t>
  </si>
  <si>
    <t>Less: First R150,000</t>
  </si>
  <si>
    <t>Balance of R14,083,875.94 divided by R5,000 = 2816,78</t>
  </si>
  <si>
    <t>Therefore: 2816 x R275</t>
  </si>
  <si>
    <t>Total Master's fee =</t>
  </si>
  <si>
    <t>Maximum Payable</t>
  </si>
  <si>
    <t>Schedule B</t>
  </si>
  <si>
    <t>Calculation of Liquidator's Remuneration in Accordance with Spendiff Decision</t>
  </si>
  <si>
    <t xml:space="preserve">Encumbered Account 1 </t>
  </si>
  <si>
    <t>Fee @3% on</t>
  </si>
  <si>
    <t>x 3%</t>
  </si>
  <si>
    <r>
      <rPr>
        <b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: </t>
    </r>
  </si>
  <si>
    <t>x 15% x 3%</t>
  </si>
  <si>
    <t>Total fee - Fixed Property</t>
  </si>
  <si>
    <t xml:space="preserve">Plus VAT @15% </t>
  </si>
  <si>
    <t>Total Fee (VAT Inclusive)</t>
  </si>
  <si>
    <t>Encumbered Account 2</t>
  </si>
  <si>
    <t xml:space="preserve">Fee @10% </t>
  </si>
  <si>
    <t>x 10%</t>
  </si>
  <si>
    <t xml:space="preserve">Less: </t>
  </si>
  <si>
    <t>x15% x 10%</t>
  </si>
  <si>
    <r>
      <t>Plus:</t>
    </r>
    <r>
      <rPr>
        <sz val="11"/>
        <color theme="1"/>
        <rFont val="Arial"/>
        <family val="2"/>
      </rPr>
      <t xml:space="preserve"> VAT @15% </t>
    </r>
  </si>
  <si>
    <t>Encumbered Account 3</t>
  </si>
  <si>
    <t>Free Residue</t>
  </si>
  <si>
    <t xml:space="preserve">Fee @10% on </t>
  </si>
  <si>
    <r>
      <rPr>
        <b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: </t>
    </r>
  </si>
  <si>
    <t>x15% x10%</t>
  </si>
  <si>
    <t>Schedule C</t>
  </si>
  <si>
    <t>Pro Rata Apportionment of the Auctionner's Commission and Expenses on Movables</t>
  </si>
  <si>
    <t>Auctioneers Commission</t>
  </si>
  <si>
    <t>Schedule D</t>
  </si>
  <si>
    <t>VAT Schedule</t>
  </si>
  <si>
    <t>OUTPUT VAT</t>
  </si>
  <si>
    <t>INPUT VAT</t>
  </si>
  <si>
    <t>VAT PAYABLE / (REFUNDABLE)</t>
  </si>
  <si>
    <t xml:space="preserve">Encumbered Asset 1 </t>
  </si>
  <si>
    <t>Encumbered Asset 3</t>
  </si>
  <si>
    <t>Encumbered Asset Account Number 1</t>
  </si>
  <si>
    <t>Proceeds of Portion 8 of the Farm ValleyGrove, Stellenbosch, Westen Cape, subject to first Mortgage Bond registered in favour of Capital Bank Ltd, Creditor no1</t>
  </si>
  <si>
    <t>Narration</t>
  </si>
  <si>
    <t>VAT</t>
  </si>
  <si>
    <t>Payments</t>
  </si>
  <si>
    <t>Receipts</t>
  </si>
  <si>
    <t>Proceeds of Portion 8 of the Farm "ValleyGrove", Stellenbosch, Western Cape, sold at a public auction held by Hastings Auctions</t>
  </si>
  <si>
    <t>Master's fees, pro rata portion as per schedule A</t>
  </si>
  <si>
    <t>GuardianSure Ltd, pro rata bond of security premium as per schedule A</t>
  </si>
  <si>
    <t>Liquidator's Fees - as per schedule B</t>
  </si>
  <si>
    <t>Hastings Auctions, for commission on the sale of property sold by public auction, as per schedule C</t>
  </si>
  <si>
    <t>Western Province Municipality, arrear rates and taxes</t>
  </si>
  <si>
    <t>SARS, VAT payable as per this account</t>
  </si>
  <si>
    <t>Total Payments</t>
  </si>
  <si>
    <t>Balance awarded as follows:</t>
  </si>
  <si>
    <t xml:space="preserve">Capital Bank, Cr 1, for the first mortgage bond registered over Portion 8 of the Farm "ValleyGrove Farms": </t>
  </si>
  <si>
    <t xml:space="preserve">   Capital </t>
  </si>
  <si>
    <t xml:space="preserve">   Plus - Interest</t>
  </si>
  <si>
    <t>Interest @14% from 05/09/22 to 17/03/23</t>
  </si>
  <si>
    <t>Days</t>
  </si>
  <si>
    <r>
      <t>The creditor relied on its security. Thus, interest calculation is unnecessary (</t>
    </r>
    <r>
      <rPr>
        <i/>
        <sz val="11"/>
        <color theme="1"/>
        <rFont val="Arial"/>
        <family val="2"/>
      </rPr>
      <t>but done for completeness</t>
    </r>
    <r>
      <rPr>
        <sz val="11"/>
        <color theme="1"/>
        <rFont val="Arial"/>
        <family val="2"/>
      </rPr>
      <t>) and the balance is insufficient to pay capital claim.</t>
    </r>
  </si>
  <si>
    <t>Encumbered Asset Account Number 2</t>
  </si>
  <si>
    <t>Proceeds of Bottling plant and equipment, subject to a special notarial bond in favour of Harvest Finance Ltd, creditor no2</t>
  </si>
  <si>
    <t>Proceeds of Bottling plant and equipment, sold at a public auction held by Hastings Auctions</t>
  </si>
  <si>
    <t>Hastings Auction, commistion and Expenses on the sale of movable assets sold by public auction, as per schedule C</t>
  </si>
  <si>
    <t>GrapeFlow Bottling Solutions, for repairs made to the bottling plant</t>
  </si>
  <si>
    <t>Harvest Finance Ltd, creditor no2, in terms of a special notarial bond over Bottling plant and equipment:</t>
  </si>
  <si>
    <t>Interest @16.5% from 05/09/22 to 17/03/23</t>
  </si>
  <si>
    <t>Balance of claim is concurrent in terms of Singer v The Master</t>
  </si>
  <si>
    <t>Encumbered Asset Account Number 3</t>
  </si>
  <si>
    <t>Proceeds of 2019 Grape Harvester, secured by an instalment sale agreement in favour of AgriTech Finance Ltd, creditor no4</t>
  </si>
  <si>
    <t>Proceeds of the 2019 Grape Harvester, sold by private treaty</t>
  </si>
  <si>
    <t>AgriTech Finance, creditor no4, in terms of instalment sale transaction over the 2019 Grape Harvester:</t>
  </si>
  <si>
    <t>Interest @18.75% from 05/09/22 to 17/03/23</t>
  </si>
  <si>
    <t>F</t>
  </si>
  <si>
    <t>FREE RESIDUE ACCOUNT</t>
  </si>
  <si>
    <t>Proceeds of Inventory of bottled wines, sold in a public auction by Hastings Auctions</t>
  </si>
  <si>
    <t>Proceeds of miscellaneous movable assets and office equipment, sold in a public auction by Hastings Auctions</t>
  </si>
  <si>
    <t>Proceeds for book debts collected by Sithole &amp; Partners</t>
  </si>
  <si>
    <t>Proceeds of a quantity of Stella Valley Cabernet grapes, sold privately to the local Co-op Market</t>
  </si>
  <si>
    <t>Liquidator's Fees</t>
  </si>
  <si>
    <t xml:space="preserve">  - As per schedule B</t>
  </si>
  <si>
    <t xml:space="preserve">  - Book Debt @10% plus 15% VAT</t>
  </si>
  <si>
    <t>Horizon Attorneys, taxed bill of costs for the applicant creditor</t>
  </si>
  <si>
    <t>Wages, paid to general labourers who assisted with harvesting of grapes</t>
  </si>
  <si>
    <t>Costs for Advertising:</t>
  </si>
  <si>
    <t xml:space="preserve">  Second (general)meeting</t>
  </si>
  <si>
    <t xml:space="preserve">  Inspection (provision)</t>
  </si>
  <si>
    <t xml:space="preserve">  Confirmation (provision)</t>
  </si>
  <si>
    <t xml:space="preserve">  Destruction of books and records (provision)</t>
  </si>
  <si>
    <t>Trust Bank Ltd, bank charges</t>
  </si>
  <si>
    <t>Postage and petties</t>
  </si>
  <si>
    <t>Sithole &amp; Partners, professional fee to collecting book debts</t>
  </si>
  <si>
    <t>Preferent creditors:</t>
  </si>
  <si>
    <t>Thabo Moeng, Cr 7, s98A</t>
  </si>
  <si>
    <t>Arrear salary - R12,000</t>
  </si>
  <si>
    <t>Leave Pay - R4,000</t>
  </si>
  <si>
    <t>Sindiwe Mthembu, Cr 10, s98A</t>
  </si>
  <si>
    <t>Arrear salary - R9,000</t>
  </si>
  <si>
    <t>SARS, Cr 5, s99</t>
  </si>
  <si>
    <t xml:space="preserve">  VAT - R119,345.02</t>
  </si>
  <si>
    <t xml:space="preserve">  Income Tax - R17,841,62</t>
  </si>
  <si>
    <t>Concurrent creditors:</t>
  </si>
  <si>
    <t>Dividend of 10.1511 cents in the Rand</t>
  </si>
  <si>
    <t>Distribution Account - List A</t>
  </si>
  <si>
    <t>No</t>
  </si>
  <si>
    <t>Creditor Name</t>
  </si>
  <si>
    <t>Total Claim</t>
  </si>
  <si>
    <t>Secured Claim</t>
  </si>
  <si>
    <t>Preferent Claim</t>
  </si>
  <si>
    <t>Concurent Claim</t>
  </si>
  <si>
    <t>Secure / Preferent Award</t>
  </si>
  <si>
    <t>Concurrent Award</t>
  </si>
  <si>
    <t>Capital Bank Ltd</t>
  </si>
  <si>
    <t>R8,946,765.32 (Capital), R665,737.39 (Interest)</t>
  </si>
  <si>
    <t>Harvest Finance Ltd</t>
  </si>
  <si>
    <t>R3,203,046.89 (Capital), R280,902.82 (Interest)</t>
  </si>
  <si>
    <t>Vinetech Supplies Ltd</t>
  </si>
  <si>
    <t>AgriTech Finance</t>
  </si>
  <si>
    <t>R1,261,052.55 (Capital), R125,673.39 (Interest)</t>
  </si>
  <si>
    <t>South African Revenue Service</t>
  </si>
  <si>
    <t>Winecraft Essentials Ltd</t>
  </si>
  <si>
    <t>Thabo Moeng</t>
  </si>
  <si>
    <t>12,000 (Salary - s98A), R4,000 (Leave s98A)</t>
  </si>
  <si>
    <t>David Smith</t>
  </si>
  <si>
    <t>Maria Ndlovu</t>
  </si>
  <si>
    <t>Sindiwe Mthembu</t>
  </si>
  <si>
    <t>9,000 (Salary - s98A)</t>
  </si>
  <si>
    <t>Concurrent dividend of 10.1511 cents in the rand</t>
  </si>
  <si>
    <t>List - B -</t>
  </si>
  <si>
    <t>ValleyGrove Farms (Pty) Ltd (In Liquidation)</t>
  </si>
  <si>
    <t>Bank Reconciliation Statement</t>
  </si>
  <si>
    <t>Balance as per bank statement as at date of drafting the account</t>
  </si>
  <si>
    <t>PAYMENTS STILL TO BE MADE:</t>
  </si>
  <si>
    <t>Bond Premium (provision for renewal)</t>
  </si>
  <si>
    <t>Master's Fee</t>
  </si>
  <si>
    <t>Bank Charges</t>
  </si>
  <si>
    <t>Postage and Petties</t>
  </si>
  <si>
    <t>SARS, for VAT payable per this account</t>
  </si>
  <si>
    <t>AWARDS TO CREDITORS STILL TO BE MADE:</t>
  </si>
  <si>
    <t>Encumbered Asset Account 1 (Cr 1)</t>
  </si>
  <si>
    <t>Encumbered Asset Account 2 (Cr 2)</t>
  </si>
  <si>
    <t>Encumbered Asset Account 3 (Cr 4)</t>
  </si>
  <si>
    <t>Cr 7 - Preferent</t>
  </si>
  <si>
    <t>Cr 10 - Preferent</t>
  </si>
  <si>
    <t>Cr 5 - Preferent</t>
  </si>
  <si>
    <t>Concurrent Creditors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</si>
</sst>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_-* #,##0.0000_-;\-* #,##0.00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165" fontId="3" fillId="0" borderId="6" xfId="1" applyFont="1" applyBorder="1"/>
    <xf numFmtId="165" fontId="3" fillId="0" borderId="5" xfId="1" applyFont="1" applyBorder="1"/>
    <xf numFmtId="0" fontId="3" fillId="0" borderId="7" xfId="0" applyFont="1" applyBorder="1"/>
    <xf numFmtId="165" fontId="3" fillId="0" borderId="7" xfId="1" applyFont="1" applyBorder="1"/>
    <xf numFmtId="165" fontId="3" fillId="0" borderId="8" xfId="1" applyFont="1" applyBorder="1"/>
    <xf numFmtId="0" fontId="3" fillId="0" borderId="9" xfId="0" applyFont="1" applyBorder="1"/>
    <xf numFmtId="165" fontId="3" fillId="0" borderId="9" xfId="1" applyFont="1" applyBorder="1"/>
    <xf numFmtId="165" fontId="3" fillId="0" borderId="10" xfId="1" applyFont="1" applyBorder="1"/>
    <xf numFmtId="0" fontId="4" fillId="0" borderId="4" xfId="0" applyFont="1" applyBorder="1" applyAlignment="1">
      <alignment horizontal="center"/>
    </xf>
    <xf numFmtId="165" fontId="4" fillId="0" borderId="4" xfId="1" applyFont="1" applyBorder="1"/>
    <xf numFmtId="165" fontId="4" fillId="0" borderId="10" xfId="1" applyFont="1" applyBorder="1"/>
    <xf numFmtId="0" fontId="5" fillId="0" borderId="6" xfId="0" applyFont="1" applyBorder="1"/>
    <xf numFmtId="0" fontId="3" fillId="0" borderId="5" xfId="0" applyFont="1" applyBorder="1"/>
    <xf numFmtId="165" fontId="3" fillId="0" borderId="8" xfId="0" applyNumberFormat="1" applyFont="1" applyBorder="1"/>
    <xf numFmtId="0" fontId="3" fillId="0" borderId="8" xfId="0" applyFont="1" applyBorder="1"/>
    <xf numFmtId="165" fontId="3" fillId="0" borderId="0" xfId="0" applyNumberFormat="1" applyFont="1"/>
    <xf numFmtId="0" fontId="6" fillId="0" borderId="7" xfId="0" applyFont="1" applyBorder="1"/>
    <xf numFmtId="165" fontId="3" fillId="0" borderId="4" xfId="1" applyFont="1" applyBorder="1"/>
    <xf numFmtId="0" fontId="4" fillId="0" borderId="9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0" xfId="0" applyFont="1"/>
    <xf numFmtId="0" fontId="3" fillId="0" borderId="4" xfId="0" applyFont="1" applyBorder="1"/>
    <xf numFmtId="165" fontId="3" fillId="0" borderId="4" xfId="0" applyNumberFormat="1" applyFont="1" applyBorder="1"/>
    <xf numFmtId="164" fontId="3" fillId="0" borderId="4" xfId="2" applyFont="1" applyBorder="1"/>
    <xf numFmtId="165" fontId="4" fillId="0" borderId="0" xfId="0" applyNumberFormat="1" applyFont="1"/>
    <xf numFmtId="165" fontId="4" fillId="0" borderId="35" xfId="0" applyNumberFormat="1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 wrapText="1"/>
    </xf>
    <xf numFmtId="165" fontId="3" fillId="0" borderId="7" xfId="0" applyNumberFormat="1" applyFont="1" applyBorder="1"/>
    <xf numFmtId="165" fontId="3" fillId="0" borderId="9" xfId="0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22" xfId="0" applyFont="1" applyBorder="1"/>
    <xf numFmtId="0" fontId="6" fillId="0" borderId="21" xfId="0" applyFont="1" applyBorder="1" applyAlignment="1">
      <alignment wrapText="1"/>
    </xf>
    <xf numFmtId="165" fontId="3" fillId="0" borderId="22" xfId="1" applyFont="1" applyBorder="1"/>
    <xf numFmtId="0" fontId="3" fillId="0" borderId="21" xfId="0" applyFont="1" applyBorder="1"/>
    <xf numFmtId="0" fontId="6" fillId="0" borderId="21" xfId="0" applyFont="1" applyBorder="1"/>
    <xf numFmtId="0" fontId="3" fillId="0" borderId="21" xfId="0" applyFont="1" applyBorder="1" applyAlignment="1">
      <alignment wrapText="1"/>
    </xf>
    <xf numFmtId="0" fontId="4" fillId="0" borderId="21" xfId="0" applyFont="1" applyBorder="1" applyAlignment="1">
      <alignment horizontal="right" wrapText="1"/>
    </xf>
    <xf numFmtId="165" fontId="4" fillId="0" borderId="8" xfId="1" applyFont="1" applyBorder="1"/>
    <xf numFmtId="165" fontId="3" fillId="0" borderId="23" xfId="0" applyNumberFormat="1" applyFont="1" applyBorder="1"/>
    <xf numFmtId="0" fontId="6" fillId="0" borderId="8" xfId="0" applyFont="1" applyBorder="1"/>
    <xf numFmtId="165" fontId="3" fillId="0" borderId="8" xfId="1" applyFont="1" applyBorder="1" applyAlignment="1">
      <alignment horizontal="left"/>
    </xf>
    <xf numFmtId="0" fontId="3" fillId="0" borderId="24" xfId="0" applyFont="1" applyBorder="1"/>
    <xf numFmtId="165" fontId="3" fillId="0" borderId="24" xfId="1" applyFont="1" applyBorder="1"/>
    <xf numFmtId="165" fontId="3" fillId="0" borderId="18" xfId="1" applyFont="1" applyBorder="1"/>
    <xf numFmtId="0" fontId="4" fillId="0" borderId="25" xfId="0" applyFont="1" applyBorder="1" applyAlignment="1">
      <alignment horizontal="right"/>
    </xf>
    <xf numFmtId="0" fontId="3" fillId="0" borderId="26" xfId="0" applyFont="1" applyBorder="1"/>
    <xf numFmtId="165" fontId="3" fillId="0" borderId="26" xfId="1" applyFont="1" applyBorder="1"/>
    <xf numFmtId="165" fontId="4" fillId="0" borderId="26" xfId="1" applyFont="1" applyBorder="1"/>
    <xf numFmtId="165" fontId="4" fillId="0" borderId="27" xfId="1" applyFont="1" applyBorder="1"/>
    <xf numFmtId="165" fontId="3" fillId="0" borderId="0" xfId="1" applyFont="1"/>
    <xf numFmtId="165" fontId="3" fillId="0" borderId="0" xfId="1" applyFont="1" applyBorder="1"/>
    <xf numFmtId="0" fontId="10" fillId="0" borderId="21" xfId="0" applyFont="1" applyBorder="1"/>
    <xf numFmtId="0" fontId="5" fillId="0" borderId="21" xfId="0" applyFont="1" applyBorder="1"/>
    <xf numFmtId="0" fontId="4" fillId="0" borderId="21" xfId="0" applyFont="1" applyBorder="1"/>
    <xf numFmtId="0" fontId="6" fillId="0" borderId="0" xfId="0" applyFont="1"/>
    <xf numFmtId="0" fontId="11" fillId="0" borderId="21" xfId="0" applyFont="1" applyBorder="1"/>
    <xf numFmtId="0" fontId="9" fillId="0" borderId="21" xfId="0" applyFont="1" applyBorder="1"/>
    <xf numFmtId="166" fontId="3" fillId="0" borderId="8" xfId="1" applyNumberFormat="1" applyFont="1" applyBorder="1"/>
    <xf numFmtId="0" fontId="4" fillId="0" borderId="26" xfId="0" applyFont="1" applyBorder="1"/>
    <xf numFmtId="10" fontId="7" fillId="2" borderId="15" xfId="0" applyNumberFormat="1" applyFont="1" applyFill="1" applyBorder="1"/>
    <xf numFmtId="0" fontId="4" fillId="0" borderId="19" xfId="0" applyFont="1" applyBorder="1"/>
    <xf numFmtId="0" fontId="4" fillId="0" borderId="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165" fontId="3" fillId="0" borderId="4" xfId="1" applyFont="1" applyBorder="1" applyAlignment="1">
      <alignment wrapText="1"/>
    </xf>
    <xf numFmtId="165" fontId="3" fillId="0" borderId="20" xfId="1" applyFont="1" applyBorder="1"/>
    <xf numFmtId="0" fontId="3" fillId="0" borderId="31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 applyAlignment="1">
      <alignment horizontal="right"/>
    </xf>
    <xf numFmtId="0" fontId="11" fillId="0" borderId="0" xfId="0" applyFont="1"/>
    <xf numFmtId="165" fontId="4" fillId="0" borderId="11" xfId="1" applyFont="1" applyBorder="1"/>
    <xf numFmtId="165" fontId="4" fillId="0" borderId="0" xfId="1" applyFont="1"/>
    <xf numFmtId="166" fontId="3" fillId="0" borderId="0" xfId="0" applyNumberFormat="1" applyFont="1"/>
    <xf numFmtId="0" fontId="8" fillId="2" borderId="0" xfId="0" applyFont="1" applyFill="1"/>
    <xf numFmtId="0" fontId="8" fillId="0" borderId="6" xfId="0" applyFont="1" applyBorder="1"/>
    <xf numFmtId="0" fontId="3" fillId="0" borderId="32" xfId="0" applyFont="1" applyBorder="1"/>
    <xf numFmtId="0" fontId="3" fillId="0" borderId="33" xfId="0" applyFont="1" applyBorder="1"/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3" fillId="0" borderId="34" xfId="1" applyFont="1" applyBorder="1"/>
    <xf numFmtId="0" fontId="8" fillId="0" borderId="7" xfId="0" applyFont="1" applyBorder="1"/>
    <xf numFmtId="0" fontId="6" fillId="0" borderId="9" xfId="0" applyFont="1" applyBorder="1"/>
    <xf numFmtId="165" fontId="3" fillId="0" borderId="12" xfId="1" applyFont="1" applyBorder="1"/>
    <xf numFmtId="165" fontId="3" fillId="0" borderId="36" xfId="1" applyFont="1" applyBorder="1"/>
    <xf numFmtId="0" fontId="11" fillId="0" borderId="0" xfId="0" applyFont="1" applyAlignment="1">
      <alignment horizontal="right"/>
    </xf>
    <xf numFmtId="43" fontId="3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06ED-6C74-47FB-BE63-7EDAF1AC5A5D}">
  <dimension ref="B1:H78"/>
  <sheetViews>
    <sheetView tabSelected="1" zoomScaleNormal="100" workbookViewId="0">
      <selection activeCell="H1" sqref="H1"/>
    </sheetView>
  </sheetViews>
  <sheetFormatPr defaultColWidth="8.7109375" defaultRowHeight="13.9"/>
  <cols>
    <col min="1" max="1" width="8.7109375" style="2"/>
    <col min="2" max="2" width="53" style="2" customWidth="1"/>
    <col min="3" max="3" width="18.140625" style="2" customWidth="1"/>
    <col min="4" max="4" width="15.42578125" style="2" customWidth="1"/>
    <col min="5" max="5" width="17.7109375" style="2" bestFit="1" customWidth="1"/>
    <col min="6" max="6" width="8.7109375" style="2"/>
    <col min="7" max="7" width="11" style="2" bestFit="1" customWidth="1"/>
    <col min="8" max="16384" width="8.7109375" style="2"/>
  </cols>
  <sheetData>
    <row r="1" spans="2:8" ht="15">
      <c r="B1" s="122" t="s">
        <v>0</v>
      </c>
      <c r="H1" s="122"/>
    </row>
    <row r="3" spans="2:8">
      <c r="B3" s="106" t="s">
        <v>1</v>
      </c>
      <c r="C3" s="106"/>
      <c r="D3" s="106"/>
      <c r="E3" s="106"/>
      <c r="F3" s="1"/>
      <c r="G3" s="1"/>
      <c r="H3" s="1"/>
    </row>
    <row r="5" spans="2:8">
      <c r="B5" s="107" t="s">
        <v>2</v>
      </c>
      <c r="C5" s="108"/>
      <c r="D5" s="108"/>
      <c r="E5" s="109"/>
      <c r="F5" s="1"/>
      <c r="G5" s="1"/>
      <c r="H5" s="1"/>
    </row>
    <row r="7" spans="2:8">
      <c r="B7" s="3" t="s">
        <v>3</v>
      </c>
      <c r="C7" s="3" t="s">
        <v>4</v>
      </c>
      <c r="D7" s="4" t="s">
        <v>5</v>
      </c>
      <c r="E7" s="4" t="s">
        <v>6</v>
      </c>
      <c r="H7" s="105">
        <v>4</v>
      </c>
    </row>
    <row r="8" spans="2:8">
      <c r="B8" s="5" t="s">
        <v>7</v>
      </c>
      <c r="C8" s="6">
        <f>'Encumbered Asset 1'!F7</f>
        <v>9100000</v>
      </c>
      <c r="D8" s="6">
        <f>$D$12/$C$12*C8</f>
        <v>175812.96974547047</v>
      </c>
      <c r="E8" s="7">
        <f>$E$12/$C$12*C8</f>
        <v>33244.634279143509</v>
      </c>
    </row>
    <row r="9" spans="2:8" ht="15.6">
      <c r="B9" s="8" t="s">
        <v>8</v>
      </c>
      <c r="C9" s="9">
        <f>'Encumbered Asset 2'!F7</f>
        <v>3500000</v>
      </c>
      <c r="D9" s="9">
        <f t="shared" ref="D9:D11" si="0">$D$12/$C$12*C9</f>
        <v>67620.372979027103</v>
      </c>
      <c r="E9" s="10">
        <f t="shared" ref="E9:E11" si="1">$E$12/$C$12*C9</f>
        <v>12786.39779967058</v>
      </c>
      <c r="F9" s="103" t="s">
        <v>9</v>
      </c>
      <c r="G9" s="103" t="s">
        <v>9</v>
      </c>
    </row>
    <row r="10" spans="2:8" ht="15.6">
      <c r="B10" s="8" t="s">
        <v>10</v>
      </c>
      <c r="C10" s="9">
        <f>'Encumbered Asset 3'!F7</f>
        <v>1150000</v>
      </c>
      <c r="D10" s="9">
        <f t="shared" si="0"/>
        <v>22218.122550251763</v>
      </c>
      <c r="E10" s="10">
        <f t="shared" si="1"/>
        <v>4201.2449913203336</v>
      </c>
      <c r="F10" s="103" t="s">
        <v>9</v>
      </c>
      <c r="G10" s="103" t="s">
        <v>9</v>
      </c>
    </row>
    <row r="11" spans="2:8">
      <c r="B11" s="11" t="s">
        <v>11</v>
      </c>
      <c r="C11" s="12">
        <f>'Free Residue'!F6+'Free Residue'!F7+'Free Residue'!F8+'Free Residue'!F9</f>
        <v>483875.94</v>
      </c>
      <c r="D11" s="12">
        <f t="shared" si="0"/>
        <v>9348.534725250669</v>
      </c>
      <c r="E11" s="13">
        <f t="shared" si="1"/>
        <v>1767.7229298655811</v>
      </c>
    </row>
    <row r="12" spans="2:8">
      <c r="B12" s="14" t="s">
        <v>12</v>
      </c>
      <c r="C12" s="15">
        <f>SUM(C8:C11)</f>
        <v>14233875.939999999</v>
      </c>
      <c r="D12" s="16">
        <f>D23</f>
        <v>275000</v>
      </c>
      <c r="E12" s="16">
        <v>52000</v>
      </c>
    </row>
    <row r="13" spans="2:8" ht="15.6">
      <c r="B13" s="104" t="s">
        <v>9</v>
      </c>
      <c r="C13" s="103" t="s">
        <v>9</v>
      </c>
      <c r="D13" s="103" t="s">
        <v>9</v>
      </c>
      <c r="E13" s="103" t="s">
        <v>9</v>
      </c>
    </row>
    <row r="15" spans="2:8">
      <c r="B15" s="17" t="s">
        <v>13</v>
      </c>
      <c r="C15" s="18"/>
      <c r="D15" s="18"/>
      <c r="H15" s="105">
        <v>2</v>
      </c>
    </row>
    <row r="16" spans="2:8" ht="15.6">
      <c r="B16" s="8" t="s">
        <v>14</v>
      </c>
      <c r="C16" s="19">
        <f>C12</f>
        <v>14233875.939999999</v>
      </c>
      <c r="D16" s="103" t="s">
        <v>9</v>
      </c>
      <c r="F16" s="21"/>
    </row>
    <row r="17" spans="2:8">
      <c r="B17" s="8" t="s">
        <v>15</v>
      </c>
      <c r="C17" s="13">
        <v>150000</v>
      </c>
      <c r="D17" s="10">
        <v>1000</v>
      </c>
    </row>
    <row r="18" spans="2:8">
      <c r="B18" s="8"/>
      <c r="C18" s="19">
        <f>C16-C17</f>
        <v>14083875.939999999</v>
      </c>
      <c r="D18" s="20"/>
    </row>
    <row r="19" spans="2:8" ht="15.6">
      <c r="B19" s="22" t="s">
        <v>16</v>
      </c>
      <c r="C19" s="19">
        <f>C18/5000</f>
        <v>2816.7751880000001</v>
      </c>
      <c r="D19" s="103" t="s">
        <v>9</v>
      </c>
    </row>
    <row r="20" spans="2:8">
      <c r="B20" s="22" t="s">
        <v>17</v>
      </c>
      <c r="C20" s="20"/>
      <c r="D20" s="10">
        <f>275*2816</f>
        <v>774400</v>
      </c>
    </row>
    <row r="21" spans="2:8" ht="15.6">
      <c r="B21" s="103" t="s">
        <v>9</v>
      </c>
      <c r="C21" s="20"/>
      <c r="D21" s="23">
        <f>D17+D20</f>
        <v>775400</v>
      </c>
    </row>
    <row r="22" spans="2:8">
      <c r="B22" s="8"/>
      <c r="C22" s="20"/>
      <c r="D22" s="23"/>
    </row>
    <row r="23" spans="2:8" ht="15.6">
      <c r="B23" s="24" t="s">
        <v>18</v>
      </c>
      <c r="C23" s="103" t="s">
        <v>9</v>
      </c>
      <c r="D23" s="25">
        <v>275000</v>
      </c>
      <c r="E23" s="26" t="s">
        <v>19</v>
      </c>
    </row>
    <row r="26" spans="2:8">
      <c r="B26" s="106" t="s">
        <v>20</v>
      </c>
      <c r="C26" s="106"/>
      <c r="D26" s="106"/>
      <c r="E26" s="106"/>
    </row>
    <row r="28" spans="2:8">
      <c r="B28" s="107" t="s">
        <v>21</v>
      </c>
      <c r="C28" s="108"/>
      <c r="D28" s="108"/>
      <c r="E28" s="109"/>
      <c r="H28" s="105">
        <v>5</v>
      </c>
    </row>
    <row r="30" spans="2:8">
      <c r="B30" s="1" t="s">
        <v>22</v>
      </c>
    </row>
    <row r="31" spans="2:8" ht="15.6">
      <c r="B31" s="27" t="s">
        <v>23</v>
      </c>
      <c r="C31" s="28">
        <f>'Encumbered Asset 1'!F7</f>
        <v>9100000</v>
      </c>
      <c r="D31" s="27" t="s">
        <v>24</v>
      </c>
      <c r="E31" s="29">
        <f>C31*0.03</f>
        <v>273000</v>
      </c>
      <c r="F31" s="103" t="s">
        <v>9</v>
      </c>
    </row>
    <row r="32" spans="2:8" ht="15.6">
      <c r="B32" s="27" t="s">
        <v>25</v>
      </c>
      <c r="C32" s="28">
        <f>'Encumbered Asset 1'!D7</f>
        <v>1186956.5217391304</v>
      </c>
      <c r="D32" s="27" t="s">
        <v>26</v>
      </c>
      <c r="E32" s="28">
        <f>(C32*0.15)*0.03</f>
        <v>5341.3043478260861</v>
      </c>
      <c r="F32" s="103" t="s">
        <v>9</v>
      </c>
    </row>
    <row r="33" spans="2:7">
      <c r="B33" s="26" t="s">
        <v>27</v>
      </c>
      <c r="E33" s="30">
        <f>E31-E32</f>
        <v>267658.69565217389</v>
      </c>
    </row>
    <row r="34" spans="2:7">
      <c r="B34" s="27" t="s">
        <v>28</v>
      </c>
      <c r="C34" s="27"/>
      <c r="D34" s="27"/>
      <c r="E34" s="28">
        <f>E33*0.15</f>
        <v>40148.804347826081</v>
      </c>
    </row>
    <row r="35" spans="2:7" ht="14.45" thickBot="1">
      <c r="B35" s="26" t="s">
        <v>29</v>
      </c>
      <c r="E35" s="31">
        <f>E33+E34</f>
        <v>307807.5</v>
      </c>
    </row>
    <row r="36" spans="2:7" ht="14.45" thickTop="1"/>
    <row r="37" spans="2:7">
      <c r="B37" s="1" t="s">
        <v>30</v>
      </c>
    </row>
    <row r="38" spans="2:7" ht="15.6">
      <c r="B38" s="27" t="s">
        <v>31</v>
      </c>
      <c r="C38" s="28">
        <f>'Encumbered Asset 2'!F7</f>
        <v>3500000</v>
      </c>
      <c r="D38" s="27" t="s">
        <v>32</v>
      </c>
      <c r="E38" s="28">
        <f>C38*0.1</f>
        <v>350000</v>
      </c>
      <c r="F38" s="103" t="s">
        <v>9</v>
      </c>
    </row>
    <row r="39" spans="2:7" ht="15.6">
      <c r="B39" s="32" t="s">
        <v>33</v>
      </c>
      <c r="C39" s="28">
        <f>'Encumbered Asset 2'!D7</f>
        <v>456521.73913043475</v>
      </c>
      <c r="D39" s="27" t="s">
        <v>34</v>
      </c>
      <c r="E39" s="28">
        <f>(C39*0.15)*0.1</f>
        <v>6847.826086956522</v>
      </c>
      <c r="F39" s="103" t="s">
        <v>9</v>
      </c>
    </row>
    <row r="40" spans="2:7">
      <c r="B40" s="27"/>
      <c r="C40" s="27"/>
      <c r="D40" s="27"/>
      <c r="E40" s="28">
        <f>E38-E39</f>
        <v>343152.17391304346</v>
      </c>
    </row>
    <row r="41" spans="2:7" ht="15.6">
      <c r="B41" s="32" t="s">
        <v>35</v>
      </c>
      <c r="C41" s="27"/>
      <c r="D41" s="27"/>
      <c r="E41" s="28">
        <f>E40*0.15</f>
        <v>51472.82608695652</v>
      </c>
      <c r="F41" s="103" t="s">
        <v>9</v>
      </c>
    </row>
    <row r="42" spans="2:7" ht="16.149999999999999" thickBot="1">
      <c r="B42" s="26" t="s">
        <v>29</v>
      </c>
      <c r="E42" s="31">
        <f>E40+E41</f>
        <v>394625</v>
      </c>
      <c r="F42" s="103" t="s">
        <v>9</v>
      </c>
    </row>
    <row r="43" spans="2:7" ht="14.45" thickTop="1"/>
    <row r="44" spans="2:7">
      <c r="B44" s="1" t="s">
        <v>36</v>
      </c>
    </row>
    <row r="45" spans="2:7" ht="15.6">
      <c r="B45" s="27" t="s">
        <v>31</v>
      </c>
      <c r="C45" s="28">
        <f>'Encumbered Asset 3'!F7</f>
        <v>1150000</v>
      </c>
      <c r="D45" s="27" t="s">
        <v>32</v>
      </c>
      <c r="E45" s="28">
        <f>C45*0.1</f>
        <v>115000</v>
      </c>
      <c r="F45" s="103" t="s">
        <v>9</v>
      </c>
      <c r="G45" s="21"/>
    </row>
    <row r="46" spans="2:7" ht="15.6">
      <c r="B46" s="32" t="s">
        <v>33</v>
      </c>
      <c r="C46" s="28">
        <f>'Encumbered Asset 3'!D7</f>
        <v>150000</v>
      </c>
      <c r="D46" s="27" t="s">
        <v>34</v>
      </c>
      <c r="E46" s="28">
        <f>(C46*0.15)*0.1</f>
        <v>2250</v>
      </c>
      <c r="F46" s="103" t="s">
        <v>9</v>
      </c>
    </row>
    <row r="47" spans="2:7">
      <c r="B47" s="27"/>
      <c r="C47" s="27"/>
      <c r="D47" s="27"/>
      <c r="E47" s="28">
        <f>E45-E46</f>
        <v>112750</v>
      </c>
    </row>
    <row r="48" spans="2:7" ht="15.6">
      <c r="B48" s="32" t="s">
        <v>35</v>
      </c>
      <c r="C48" s="27"/>
      <c r="D48" s="27"/>
      <c r="E48" s="28">
        <f>E47*0.15</f>
        <v>16912.5</v>
      </c>
      <c r="F48" s="103" t="s">
        <v>9</v>
      </c>
    </row>
    <row r="49" spans="2:8" ht="16.149999999999999" thickBot="1">
      <c r="B49" s="26" t="s">
        <v>29</v>
      </c>
      <c r="E49" s="31">
        <f>E47+E48</f>
        <v>129662.5</v>
      </c>
      <c r="F49" s="103" t="s">
        <v>9</v>
      </c>
    </row>
    <row r="50" spans="2:8" ht="14.45" thickTop="1"/>
    <row r="51" spans="2:8">
      <c r="B51" s="1" t="s">
        <v>37</v>
      </c>
    </row>
    <row r="52" spans="2:8">
      <c r="B52" s="27" t="s">
        <v>38</v>
      </c>
      <c r="C52" s="28">
        <f>('Free Residue'!F6+'Free Residue'!F7+'Free Residue'!F9)</f>
        <v>395470.86</v>
      </c>
      <c r="D52" s="27" t="s">
        <v>32</v>
      </c>
      <c r="E52" s="28">
        <f>C52*0.1</f>
        <v>39547.086000000003</v>
      </c>
    </row>
    <row r="53" spans="2:8">
      <c r="B53" s="27" t="s">
        <v>39</v>
      </c>
      <c r="C53" s="28">
        <f>('Free Residue'!D6+'Free Residue'!D7+'Free Residue'!D9)</f>
        <v>51583.155652173911</v>
      </c>
      <c r="D53" s="27" t="s">
        <v>40</v>
      </c>
      <c r="E53" s="28">
        <f>(C53*0.15)*0.1</f>
        <v>773.74733478260862</v>
      </c>
    </row>
    <row r="54" spans="2:8">
      <c r="B54" s="27"/>
      <c r="C54" s="27"/>
      <c r="D54" s="27"/>
      <c r="E54" s="28">
        <f>E52-E53</f>
        <v>38773.338665217394</v>
      </c>
    </row>
    <row r="55" spans="2:8">
      <c r="B55" s="32" t="s">
        <v>35</v>
      </c>
      <c r="C55" s="27"/>
      <c r="D55" s="27"/>
      <c r="E55" s="28">
        <f>E54*0.15</f>
        <v>5816.0007997826087</v>
      </c>
    </row>
    <row r="56" spans="2:8" ht="14.45" thickBot="1">
      <c r="B56" s="26" t="s">
        <v>29</v>
      </c>
      <c r="E56" s="31">
        <f>E54+E55</f>
        <v>44589.339465000005</v>
      </c>
    </row>
    <row r="57" spans="2:8" ht="14.45" thickTop="1"/>
    <row r="60" spans="2:8">
      <c r="B60" s="106" t="s">
        <v>41</v>
      </c>
      <c r="C60" s="106"/>
      <c r="D60" s="106"/>
    </row>
    <row r="62" spans="2:8">
      <c r="B62" s="107" t="s">
        <v>42</v>
      </c>
      <c r="C62" s="108"/>
      <c r="D62" s="109"/>
      <c r="H62" s="105">
        <v>3</v>
      </c>
    </row>
    <row r="63" spans="2:8" ht="27.6">
      <c r="B63" s="3" t="s">
        <v>3</v>
      </c>
      <c r="C63" s="3" t="s">
        <v>4</v>
      </c>
      <c r="D63" s="33" t="s">
        <v>43</v>
      </c>
    </row>
    <row r="64" spans="2:8" ht="15.6">
      <c r="B64" s="8" t="s">
        <v>30</v>
      </c>
      <c r="C64" s="34">
        <f>'Encumbered Asset 2'!F7</f>
        <v>3500000</v>
      </c>
      <c r="D64" s="10">
        <f>(D66/C66)*C64</f>
        <v>32563.412579911575</v>
      </c>
      <c r="E64" s="103" t="s">
        <v>9</v>
      </c>
      <c r="F64" s="103" t="s">
        <v>9</v>
      </c>
    </row>
    <row r="65" spans="2:8" ht="15.6">
      <c r="B65" s="11" t="s">
        <v>11</v>
      </c>
      <c r="C65" s="35">
        <f>'Free Residue'!F6+'Free Residue'!F7</f>
        <v>274594.09999999998</v>
      </c>
      <c r="D65" s="13">
        <f>(D66/C66)*C65</f>
        <v>2554.7774200884273</v>
      </c>
      <c r="E65" s="103" t="s">
        <v>9</v>
      </c>
      <c r="F65" s="103" t="s">
        <v>9</v>
      </c>
    </row>
    <row r="66" spans="2:8" ht="15.6">
      <c r="B66" s="32"/>
      <c r="C66" s="25">
        <f>SUM(C64:C65)</f>
        <v>3774594.1</v>
      </c>
      <c r="D66" s="16">
        <v>35118.19</v>
      </c>
      <c r="E66" s="103" t="s">
        <v>9</v>
      </c>
      <c r="F66" s="103" t="s">
        <v>9</v>
      </c>
    </row>
    <row r="68" spans="2:8">
      <c r="B68" s="106" t="s">
        <v>44</v>
      </c>
      <c r="C68" s="106"/>
      <c r="D68" s="106"/>
      <c r="E68" s="106"/>
    </row>
    <row r="70" spans="2:8">
      <c r="B70" s="106" t="s">
        <v>45</v>
      </c>
      <c r="C70" s="106"/>
      <c r="D70" s="106"/>
      <c r="E70" s="106"/>
    </row>
    <row r="72" spans="2:8" ht="27.6">
      <c r="B72" s="3" t="s">
        <v>3</v>
      </c>
      <c r="C72" s="3" t="s">
        <v>46</v>
      </c>
      <c r="D72" s="4" t="s">
        <v>47</v>
      </c>
      <c r="E72" s="33" t="s">
        <v>48</v>
      </c>
      <c r="H72" s="105">
        <v>3</v>
      </c>
    </row>
    <row r="73" spans="2:8">
      <c r="B73" s="5" t="s">
        <v>49</v>
      </c>
      <c r="C73" s="6">
        <f>'Encumbered Asset 1'!D7</f>
        <v>1186956.5217391304</v>
      </c>
      <c r="D73" s="6">
        <f>C73-E73</f>
        <v>99919.843601627508</v>
      </c>
      <c r="E73" s="7">
        <f>'Encumbered Asset 1'!E16</f>
        <v>1087036.6781375029</v>
      </c>
    </row>
    <row r="74" spans="2:8" ht="15.6">
      <c r="B74" s="8" t="s">
        <v>8</v>
      </c>
      <c r="C74" s="9">
        <f>'Encumbered Asset 2'!D7</f>
        <v>456521.73913043475</v>
      </c>
      <c r="D74" s="9">
        <f>C74-E74</f>
        <v>61120.119179945556</v>
      </c>
      <c r="E74" s="10">
        <f>'Encumbered Asset 2'!E15</f>
        <v>395401.6199504892</v>
      </c>
      <c r="F74" s="103" t="s">
        <v>9</v>
      </c>
    </row>
    <row r="75" spans="2:8" ht="15.6">
      <c r="B75" s="8" t="s">
        <v>50</v>
      </c>
      <c r="C75" s="9">
        <f>'Encumbered Asset 3'!D7</f>
        <v>150000</v>
      </c>
      <c r="D75" s="9">
        <f>C75-E75</f>
        <v>17460.488477128732</v>
      </c>
      <c r="E75" s="10">
        <f>'Encumbered Asset 3'!E13</f>
        <v>132539.51152287127</v>
      </c>
      <c r="F75" s="103" t="s">
        <v>9</v>
      </c>
    </row>
    <row r="76" spans="2:8">
      <c r="B76" s="11" t="s">
        <v>11</v>
      </c>
      <c r="C76" s="12">
        <f>'Free Residue'!D6+'Free Residue'!D7+'Free Residue'!D9</f>
        <v>51583.155652173911</v>
      </c>
      <c r="D76" s="12">
        <f>C76-E76</f>
        <v>11359.293132385319</v>
      </c>
      <c r="E76" s="13">
        <f>'Free Residue'!E29</f>
        <v>40223.862519788592</v>
      </c>
    </row>
    <row r="77" spans="2:8" ht="15.6">
      <c r="B77" s="14" t="s">
        <v>12</v>
      </c>
      <c r="C77" s="15">
        <f>SUM(C73:C76)</f>
        <v>1845061.4165217392</v>
      </c>
      <c r="D77" s="15">
        <f t="shared" ref="D77:E77" si="2">SUM(D73:D76)</f>
        <v>189859.74439108712</v>
      </c>
      <c r="E77" s="15">
        <f t="shared" si="2"/>
        <v>1655201.6721306518</v>
      </c>
      <c r="F77" s="103" t="s">
        <v>9</v>
      </c>
      <c r="G77" s="103" t="s">
        <v>9</v>
      </c>
    </row>
    <row r="78" spans="2:8" ht="15.6">
      <c r="C78" s="103" t="s">
        <v>9</v>
      </c>
      <c r="D78" s="103" t="s">
        <v>9</v>
      </c>
    </row>
  </sheetData>
  <mergeCells count="8">
    <mergeCell ref="B3:E3"/>
    <mergeCell ref="B5:E5"/>
    <mergeCell ref="B26:E26"/>
    <mergeCell ref="B68:E68"/>
    <mergeCell ref="B70:E70"/>
    <mergeCell ref="B60:D60"/>
    <mergeCell ref="B62:D62"/>
    <mergeCell ref="B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F749-4E45-4564-8AFB-8164F66FCCAF}">
  <dimension ref="B1:J46"/>
  <sheetViews>
    <sheetView workbookViewId="0">
      <selection activeCell="F27" sqref="F27"/>
    </sheetView>
  </sheetViews>
  <sheetFormatPr defaultColWidth="8.7109375" defaultRowHeight="13.9"/>
  <cols>
    <col min="1" max="1" width="8.7109375" style="2"/>
    <col min="2" max="2" width="67.7109375" style="2" customWidth="1"/>
    <col min="3" max="3" width="15.5703125" style="2" customWidth="1"/>
    <col min="4" max="4" width="16.42578125" style="2" customWidth="1"/>
    <col min="5" max="5" width="15.7109375" style="2" customWidth="1"/>
    <col min="6" max="6" width="16.7109375" style="2" customWidth="1"/>
    <col min="7" max="16384" width="8.7109375" style="2"/>
  </cols>
  <sheetData>
    <row r="1" spans="2:10" ht="14.45" thickBot="1"/>
    <row r="2" spans="2:10">
      <c r="B2" s="110" t="s">
        <v>51</v>
      </c>
      <c r="C2" s="111"/>
      <c r="D2" s="111"/>
      <c r="E2" s="111"/>
      <c r="F2" s="112"/>
    </row>
    <row r="3" spans="2:10" ht="29.65" customHeight="1" thickBot="1">
      <c r="B3" s="113" t="s">
        <v>52</v>
      </c>
      <c r="C3" s="114"/>
      <c r="D3" s="114"/>
      <c r="E3" s="114"/>
      <c r="F3" s="115"/>
      <c r="G3" s="103" t="s">
        <v>9</v>
      </c>
      <c r="H3" s="103" t="s">
        <v>9</v>
      </c>
      <c r="J3" s="105">
        <v>9</v>
      </c>
    </row>
    <row r="4" spans="2:10">
      <c r="B4" s="36"/>
      <c r="C4" s="37"/>
      <c r="D4" s="37"/>
      <c r="E4" s="37"/>
      <c r="F4" s="38"/>
    </row>
    <row r="5" spans="2:10">
      <c r="B5" s="39" t="s">
        <v>53</v>
      </c>
      <c r="C5" s="40"/>
      <c r="D5" s="3" t="s">
        <v>54</v>
      </c>
      <c r="E5" s="41" t="s">
        <v>55</v>
      </c>
      <c r="F5" s="42" t="s">
        <v>56</v>
      </c>
    </row>
    <row r="6" spans="2:10">
      <c r="B6" s="43" t="s">
        <v>56</v>
      </c>
      <c r="C6" s="44"/>
      <c r="D6" s="45"/>
      <c r="E6" s="44"/>
      <c r="F6" s="46"/>
    </row>
    <row r="7" spans="2:10" ht="28.15">
      <c r="B7" s="47" t="s">
        <v>57</v>
      </c>
      <c r="C7" s="20"/>
      <c r="D7" s="10">
        <f>F7*(15/115)</f>
        <v>1186956.5217391304</v>
      </c>
      <c r="E7" s="103" t="s">
        <v>9</v>
      </c>
      <c r="F7" s="48">
        <v>9100000</v>
      </c>
    </row>
    <row r="8" spans="2:10">
      <c r="B8" s="49"/>
      <c r="C8" s="20"/>
      <c r="D8" s="10"/>
      <c r="E8" s="10"/>
      <c r="F8" s="48"/>
    </row>
    <row r="9" spans="2:10">
      <c r="B9" s="49"/>
      <c r="C9" s="20"/>
      <c r="D9" s="10"/>
      <c r="E9" s="10"/>
      <c r="F9" s="48"/>
    </row>
    <row r="10" spans="2:10">
      <c r="B10" s="43" t="s">
        <v>55</v>
      </c>
      <c r="C10" s="20"/>
      <c r="D10" s="10"/>
      <c r="E10" s="10"/>
      <c r="F10" s="48"/>
    </row>
    <row r="11" spans="2:10" ht="15.6">
      <c r="B11" s="50" t="s">
        <v>58</v>
      </c>
      <c r="C11" s="103" t="s">
        <v>9</v>
      </c>
      <c r="D11" s="10">
        <v>0</v>
      </c>
      <c r="E11" s="10">
        <f>Schedules!D8</f>
        <v>175812.96974547047</v>
      </c>
      <c r="F11" s="103" t="s">
        <v>9</v>
      </c>
    </row>
    <row r="12" spans="2:10" ht="15.6">
      <c r="B12" s="47" t="s">
        <v>59</v>
      </c>
      <c r="C12" s="103" t="s">
        <v>9</v>
      </c>
      <c r="D12" s="10">
        <f>-E12*(15/115)</f>
        <v>-4336.2566451056746</v>
      </c>
      <c r="E12" s="10">
        <f>Schedules!E8</f>
        <v>33244.634279143509</v>
      </c>
      <c r="F12" s="103" t="s">
        <v>9</v>
      </c>
    </row>
    <row r="13" spans="2:10" ht="15.6">
      <c r="B13" s="50" t="s">
        <v>60</v>
      </c>
      <c r="C13" s="103" t="s">
        <v>9</v>
      </c>
      <c r="D13" s="10">
        <f>-Schedules!E34</f>
        <v>-40148.804347826081</v>
      </c>
      <c r="E13" s="10">
        <f>Schedules!E35</f>
        <v>307807.5</v>
      </c>
      <c r="F13" s="103" t="s">
        <v>9</v>
      </c>
    </row>
    <row r="14" spans="2:10" ht="28.15">
      <c r="B14" s="47" t="s">
        <v>61</v>
      </c>
      <c r="C14" s="103" t="s">
        <v>9</v>
      </c>
      <c r="D14" s="10">
        <f>-E14*(15/115)</f>
        <v>-55434.782608695648</v>
      </c>
      <c r="E14" s="10">
        <v>425000</v>
      </c>
      <c r="F14" s="103" t="s">
        <v>9</v>
      </c>
    </row>
    <row r="15" spans="2:10" ht="15.6">
      <c r="B15" s="50" t="s">
        <v>62</v>
      </c>
      <c r="C15" s="103" t="s">
        <v>9</v>
      </c>
      <c r="D15" s="10">
        <v>0</v>
      </c>
      <c r="E15" s="10">
        <v>124897.5</v>
      </c>
      <c r="F15" s="103" t="s">
        <v>9</v>
      </c>
    </row>
    <row r="16" spans="2:10" ht="15.6">
      <c r="B16" s="51" t="s">
        <v>63</v>
      </c>
      <c r="C16" s="20"/>
      <c r="D16" s="10"/>
      <c r="E16" s="13">
        <f>SUM(D7:D15)</f>
        <v>1087036.6781375029</v>
      </c>
      <c r="F16" s="103" t="s">
        <v>9</v>
      </c>
    </row>
    <row r="17" spans="2:6">
      <c r="B17" s="52" t="s">
        <v>64</v>
      </c>
      <c r="C17" s="20"/>
      <c r="D17" s="10"/>
      <c r="E17" s="53">
        <f>SUM(E11:E16)</f>
        <v>2153799.2821621168</v>
      </c>
      <c r="F17" s="48"/>
    </row>
    <row r="18" spans="2:6">
      <c r="B18" s="49"/>
      <c r="C18" s="20"/>
      <c r="D18" s="10"/>
      <c r="E18" s="10"/>
      <c r="F18" s="48"/>
    </row>
    <row r="19" spans="2:6">
      <c r="B19" s="43" t="s">
        <v>65</v>
      </c>
      <c r="C19" s="19"/>
      <c r="D19" s="10"/>
      <c r="E19" s="10"/>
      <c r="F19" s="48"/>
    </row>
    <row r="20" spans="2:6" ht="27.6">
      <c r="B20" s="51" t="s">
        <v>66</v>
      </c>
      <c r="C20" s="19"/>
      <c r="D20" s="10"/>
      <c r="E20" s="10">
        <f>F7-E17</f>
        <v>6946200.7178378832</v>
      </c>
      <c r="F20" s="48"/>
    </row>
    <row r="21" spans="2:6" ht="15.6">
      <c r="B21" s="49" t="s">
        <v>67</v>
      </c>
      <c r="C21" s="10">
        <v>8946765.3200000003</v>
      </c>
      <c r="D21" s="103" t="s">
        <v>9</v>
      </c>
      <c r="E21" s="103" t="s">
        <v>9</v>
      </c>
      <c r="F21" s="48"/>
    </row>
    <row r="22" spans="2:6">
      <c r="B22" s="49" t="s">
        <v>68</v>
      </c>
      <c r="C22" s="19">
        <f>(C21*14%)*(C25/365)</f>
        <v>665737.38655123301</v>
      </c>
      <c r="D22" s="10"/>
      <c r="E22" s="10"/>
      <c r="F22" s="48"/>
    </row>
    <row r="23" spans="2:6" ht="14.45" thickBot="1">
      <c r="B23" s="49"/>
      <c r="C23" s="54">
        <f>SUM(C21:C22)</f>
        <v>9612502.7065512333</v>
      </c>
      <c r="D23" s="10"/>
      <c r="E23" s="10"/>
      <c r="F23" s="48"/>
    </row>
    <row r="24" spans="2:6">
      <c r="B24" s="49"/>
      <c r="C24" s="20"/>
      <c r="D24" s="10"/>
      <c r="E24" s="10"/>
      <c r="F24" s="48"/>
    </row>
    <row r="25" spans="2:6">
      <c r="B25" s="50" t="s">
        <v>69</v>
      </c>
      <c r="C25" s="55">
        <f>26+31+30+31+31+28+17</f>
        <v>194</v>
      </c>
      <c r="D25" s="56" t="s">
        <v>70</v>
      </c>
      <c r="E25" s="10"/>
      <c r="F25" s="48"/>
    </row>
    <row r="26" spans="2:6">
      <c r="B26" s="49"/>
      <c r="C26" s="20"/>
      <c r="D26" s="10"/>
      <c r="E26" s="10"/>
      <c r="F26" s="48"/>
    </row>
    <row r="27" spans="2:6" ht="42.6">
      <c r="B27" s="51" t="s">
        <v>71</v>
      </c>
      <c r="C27" s="103" t="s">
        <v>9</v>
      </c>
      <c r="D27" s="10"/>
      <c r="E27" s="10"/>
      <c r="F27" s="48"/>
    </row>
    <row r="28" spans="2:6" ht="16.149999999999999" thickBot="1">
      <c r="B28" s="103" t="s">
        <v>9</v>
      </c>
      <c r="C28" s="57"/>
      <c r="D28" s="58"/>
      <c r="E28" s="58"/>
      <c r="F28" s="59"/>
    </row>
    <row r="29" spans="2:6" ht="14.45" thickBot="1">
      <c r="B29" s="60" t="s">
        <v>12</v>
      </c>
      <c r="C29" s="61"/>
      <c r="D29" s="62"/>
      <c r="E29" s="63">
        <f>E17+E20</f>
        <v>9100000</v>
      </c>
      <c r="F29" s="64">
        <f>F7</f>
        <v>9100000</v>
      </c>
    </row>
    <row r="30" spans="2:6">
      <c r="D30" s="65"/>
      <c r="E30" s="65"/>
      <c r="F30" s="65"/>
    </row>
    <row r="31" spans="2:6">
      <c r="D31" s="65"/>
      <c r="E31" s="65"/>
      <c r="F31" s="65"/>
    </row>
    <row r="32" spans="2:6">
      <c r="D32" s="65"/>
      <c r="E32" s="65"/>
      <c r="F32" s="65"/>
    </row>
    <row r="33" spans="4:6">
      <c r="D33" s="65"/>
      <c r="E33" s="65"/>
      <c r="F33" s="65"/>
    </row>
    <row r="34" spans="4:6">
      <c r="D34" s="65"/>
      <c r="E34" s="65"/>
      <c r="F34" s="65"/>
    </row>
    <row r="35" spans="4:6">
      <c r="D35" s="65"/>
      <c r="E35" s="65"/>
      <c r="F35" s="65"/>
    </row>
    <row r="36" spans="4:6">
      <c r="D36" s="65"/>
      <c r="E36" s="65"/>
      <c r="F36" s="65"/>
    </row>
    <row r="37" spans="4:6">
      <c r="D37" s="65"/>
      <c r="E37" s="65"/>
      <c r="F37" s="65"/>
    </row>
    <row r="38" spans="4:6">
      <c r="D38" s="65"/>
      <c r="E38" s="65"/>
      <c r="F38" s="65"/>
    </row>
    <row r="39" spans="4:6">
      <c r="D39" s="65"/>
      <c r="E39" s="65"/>
      <c r="F39" s="65"/>
    </row>
    <row r="40" spans="4:6">
      <c r="D40" s="65"/>
      <c r="E40" s="65"/>
      <c r="F40" s="65"/>
    </row>
    <row r="41" spans="4:6">
      <c r="D41" s="65"/>
      <c r="E41" s="65"/>
      <c r="F41" s="65"/>
    </row>
    <row r="42" spans="4:6">
      <c r="D42" s="65"/>
      <c r="E42" s="65"/>
      <c r="F42" s="65"/>
    </row>
    <row r="43" spans="4:6">
      <c r="D43" s="65"/>
      <c r="E43" s="65"/>
      <c r="F43" s="65"/>
    </row>
    <row r="44" spans="4:6">
      <c r="D44" s="65"/>
      <c r="E44" s="65"/>
      <c r="F44" s="65"/>
    </row>
    <row r="45" spans="4:6">
      <c r="D45" s="65"/>
      <c r="E45" s="65"/>
      <c r="F45" s="65"/>
    </row>
    <row r="46" spans="4:6">
      <c r="D46" s="65"/>
      <c r="E46" s="65"/>
      <c r="F46" s="65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3B00-4BA4-4276-9E84-572EDD235616}">
  <dimension ref="B1:J45"/>
  <sheetViews>
    <sheetView workbookViewId="0">
      <selection activeCell="H27" sqref="H27"/>
    </sheetView>
  </sheetViews>
  <sheetFormatPr defaultColWidth="8.7109375" defaultRowHeight="13.9"/>
  <cols>
    <col min="1" max="1" width="8.7109375" style="2"/>
    <col min="2" max="2" width="67.7109375" style="2" customWidth="1"/>
    <col min="3" max="3" width="18.42578125" style="2" customWidth="1"/>
    <col min="4" max="4" width="14.85546875" style="2" customWidth="1"/>
    <col min="5" max="5" width="17.28515625" style="2" customWidth="1"/>
    <col min="6" max="6" width="15.5703125" style="2" customWidth="1"/>
    <col min="7" max="16384" width="8.7109375" style="2"/>
  </cols>
  <sheetData>
    <row r="1" spans="2:10" ht="14.45" thickBot="1"/>
    <row r="2" spans="2:10">
      <c r="B2" s="110" t="s">
        <v>72</v>
      </c>
      <c r="C2" s="111"/>
      <c r="D2" s="111"/>
      <c r="E2" s="111"/>
      <c r="F2" s="112"/>
    </row>
    <row r="3" spans="2:10" ht="16.149999999999999" thickBot="1">
      <c r="B3" s="116" t="s">
        <v>73</v>
      </c>
      <c r="C3" s="117"/>
      <c r="D3" s="117"/>
      <c r="E3" s="117"/>
      <c r="F3" s="118"/>
      <c r="G3" s="103" t="s">
        <v>9</v>
      </c>
      <c r="H3" s="103" t="s">
        <v>9</v>
      </c>
      <c r="J3" s="105">
        <v>11</v>
      </c>
    </row>
    <row r="4" spans="2:10">
      <c r="B4" s="36"/>
      <c r="C4" s="37"/>
      <c r="D4" s="37"/>
      <c r="E4" s="37"/>
      <c r="F4" s="38"/>
    </row>
    <row r="5" spans="2:10">
      <c r="B5" s="39" t="s">
        <v>53</v>
      </c>
      <c r="C5" s="40"/>
      <c r="D5" s="3" t="s">
        <v>54</v>
      </c>
      <c r="E5" s="41" t="s">
        <v>55</v>
      </c>
      <c r="F5" s="42" t="s">
        <v>56</v>
      </c>
    </row>
    <row r="6" spans="2:10">
      <c r="B6" s="43" t="s">
        <v>56</v>
      </c>
      <c r="C6" s="44"/>
      <c r="D6" s="45"/>
      <c r="E6" s="44"/>
      <c r="F6" s="46"/>
    </row>
    <row r="7" spans="2:10" ht="28.15">
      <c r="B7" s="47" t="s">
        <v>74</v>
      </c>
      <c r="C7" s="20"/>
      <c r="D7" s="10">
        <f>F7*(15/115)</f>
        <v>456521.73913043475</v>
      </c>
      <c r="E7" s="103" t="s">
        <v>9</v>
      </c>
      <c r="F7" s="48">
        <v>3500000</v>
      </c>
    </row>
    <row r="8" spans="2:10">
      <c r="B8" s="49"/>
      <c r="C8" s="20"/>
      <c r="D8" s="10"/>
      <c r="E8" s="10"/>
      <c r="F8" s="48"/>
    </row>
    <row r="9" spans="2:10">
      <c r="B9" s="43" t="s">
        <v>55</v>
      </c>
      <c r="C9" s="20"/>
      <c r="D9" s="10"/>
      <c r="E9" s="10"/>
      <c r="F9" s="48"/>
    </row>
    <row r="10" spans="2:10" ht="15.6">
      <c r="B10" s="50" t="s">
        <v>58</v>
      </c>
      <c r="C10" s="103" t="s">
        <v>9</v>
      </c>
      <c r="D10" s="10">
        <v>0</v>
      </c>
      <c r="E10" s="10">
        <f>Schedules!D9</f>
        <v>67620.372979027103</v>
      </c>
      <c r="F10" s="103" t="s">
        <v>9</v>
      </c>
    </row>
    <row r="11" spans="2:10" ht="15.6">
      <c r="B11" s="47" t="s">
        <v>59</v>
      </c>
      <c r="C11" s="103" t="s">
        <v>9</v>
      </c>
      <c r="D11" s="10">
        <f>-E11*(15/115)</f>
        <v>-1667.7910173483365</v>
      </c>
      <c r="E11" s="10">
        <f>Schedules!E9</f>
        <v>12786.39779967058</v>
      </c>
      <c r="F11" s="103" t="s">
        <v>9</v>
      </c>
    </row>
    <row r="12" spans="2:10" ht="15.6">
      <c r="B12" s="50" t="s">
        <v>60</v>
      </c>
      <c r="C12" s="103" t="s">
        <v>9</v>
      </c>
      <c r="D12" s="10">
        <f>-Schedules!E41</f>
        <v>-51472.82608695652</v>
      </c>
      <c r="E12" s="10">
        <f>Schedules!E42</f>
        <v>394625</v>
      </c>
      <c r="F12" s="103" t="s">
        <v>9</v>
      </c>
    </row>
    <row r="13" spans="2:10" ht="28.15">
      <c r="B13" s="47" t="s">
        <v>75</v>
      </c>
      <c r="C13" s="103" t="s">
        <v>9</v>
      </c>
      <c r="D13" s="10">
        <f>-E13*(15/115)</f>
        <v>-4247.4016408580319</v>
      </c>
      <c r="E13" s="10">
        <f>Schedules!D64</f>
        <v>32563.412579911575</v>
      </c>
      <c r="F13" s="103" t="s">
        <v>9</v>
      </c>
    </row>
    <row r="14" spans="2:10" ht="15.6">
      <c r="B14" s="47" t="s">
        <v>76</v>
      </c>
      <c r="C14" s="103" t="s">
        <v>9</v>
      </c>
      <c r="D14" s="10">
        <f>-E14*(15/115)</f>
        <v>-3732.1004347826088</v>
      </c>
      <c r="E14" s="10">
        <v>28612.77</v>
      </c>
      <c r="F14" s="103" t="s">
        <v>9</v>
      </c>
    </row>
    <row r="15" spans="2:10" ht="15.6">
      <c r="B15" s="51" t="s">
        <v>63</v>
      </c>
      <c r="C15" s="20"/>
      <c r="D15" s="10"/>
      <c r="E15" s="13">
        <f>SUM(D7:D14)</f>
        <v>395401.6199504892</v>
      </c>
      <c r="F15" s="103" t="s">
        <v>9</v>
      </c>
    </row>
    <row r="16" spans="2:10">
      <c r="B16" s="52" t="s">
        <v>64</v>
      </c>
      <c r="C16" s="20"/>
      <c r="D16" s="10"/>
      <c r="E16" s="53">
        <f>SUM(E10:E15)</f>
        <v>931609.57330909837</v>
      </c>
      <c r="F16" s="48"/>
    </row>
    <row r="17" spans="2:7">
      <c r="B17" s="49"/>
      <c r="C17" s="20"/>
      <c r="D17" s="10"/>
      <c r="E17" s="10"/>
      <c r="F17" s="48"/>
    </row>
    <row r="18" spans="2:7">
      <c r="B18" s="43" t="s">
        <v>65</v>
      </c>
      <c r="C18" s="19"/>
      <c r="D18" s="10"/>
      <c r="E18" s="10"/>
      <c r="F18" s="48"/>
    </row>
    <row r="19" spans="2:7" ht="28.15">
      <c r="B19" s="47" t="s">
        <v>77</v>
      </c>
      <c r="C19" s="103" t="s">
        <v>9</v>
      </c>
      <c r="D19" s="10"/>
      <c r="E19" s="10">
        <f>F7-E16</f>
        <v>2568390.4266909016</v>
      </c>
      <c r="F19" s="103" t="s">
        <v>9</v>
      </c>
      <c r="G19" s="103" t="s">
        <v>9</v>
      </c>
    </row>
    <row r="20" spans="2:7" ht="15.6">
      <c r="B20" s="49" t="s">
        <v>67</v>
      </c>
      <c r="C20" s="10">
        <v>3203046.89</v>
      </c>
      <c r="D20" s="103" t="s">
        <v>9</v>
      </c>
      <c r="E20" s="103" t="s">
        <v>9</v>
      </c>
      <c r="F20" s="48"/>
    </row>
    <row r="21" spans="2:7">
      <c r="B21" s="49" t="s">
        <v>68</v>
      </c>
      <c r="C21" s="19">
        <f>(C20*16.5%)*(C24/365)</f>
        <v>280902.82451753435</v>
      </c>
      <c r="D21" s="10"/>
      <c r="E21" s="10"/>
      <c r="F21" s="48"/>
    </row>
    <row r="22" spans="2:7" ht="14.45" thickBot="1">
      <c r="B22" s="49"/>
      <c r="C22" s="54">
        <f>SUM(C20:C21)</f>
        <v>3483949.7145175347</v>
      </c>
      <c r="D22" s="10"/>
      <c r="E22" s="10"/>
      <c r="F22" s="48"/>
    </row>
    <row r="23" spans="2:7">
      <c r="B23" s="49"/>
      <c r="C23" s="20"/>
      <c r="D23" s="10"/>
      <c r="E23" s="10"/>
      <c r="F23" s="48"/>
    </row>
    <row r="24" spans="2:7">
      <c r="B24" s="50" t="s">
        <v>78</v>
      </c>
      <c r="C24" s="55">
        <f>'Encumbered Asset 1'!C25</f>
        <v>194</v>
      </c>
      <c r="D24" s="56" t="s">
        <v>70</v>
      </c>
      <c r="E24" s="10"/>
      <c r="F24" s="48"/>
    </row>
    <row r="25" spans="2:7">
      <c r="B25" s="49"/>
      <c r="C25" s="20"/>
      <c r="D25" s="10"/>
      <c r="E25" s="10"/>
      <c r="F25" s="48"/>
    </row>
    <row r="26" spans="2:7">
      <c r="B26" s="50" t="s">
        <v>79</v>
      </c>
      <c r="C26" s="19">
        <f>C22-E19</f>
        <v>915559.28782663308</v>
      </c>
      <c r="D26" s="10"/>
      <c r="E26" s="10"/>
      <c r="F26" s="48"/>
    </row>
    <row r="27" spans="2:7" ht="16.149999999999999" thickBot="1">
      <c r="B27" s="103" t="s">
        <v>9</v>
      </c>
      <c r="C27" s="103" t="s">
        <v>9</v>
      </c>
      <c r="D27" s="103" t="s">
        <v>9</v>
      </c>
      <c r="E27" s="58"/>
      <c r="F27" s="59"/>
    </row>
    <row r="28" spans="2:7" ht="14.45" thickBot="1">
      <c r="B28" s="60" t="s">
        <v>12</v>
      </c>
      <c r="C28" s="61"/>
      <c r="D28" s="62"/>
      <c r="E28" s="63">
        <f>E16+E19</f>
        <v>3500000</v>
      </c>
      <c r="F28" s="64">
        <f>F7</f>
        <v>3500000</v>
      </c>
    </row>
    <row r="29" spans="2:7">
      <c r="D29" s="65"/>
      <c r="E29" s="65"/>
      <c r="F29" s="65"/>
    </row>
    <row r="30" spans="2:7">
      <c r="D30" s="65"/>
      <c r="E30" s="65"/>
      <c r="F30" s="65"/>
    </row>
    <row r="31" spans="2:7">
      <c r="D31" s="65"/>
      <c r="E31" s="65"/>
      <c r="F31" s="65"/>
    </row>
    <row r="32" spans="2:7">
      <c r="D32" s="65"/>
      <c r="E32" s="65"/>
      <c r="F32" s="65"/>
    </row>
    <row r="33" spans="4:6">
      <c r="D33" s="65"/>
      <c r="E33" s="65"/>
      <c r="F33" s="65"/>
    </row>
    <row r="34" spans="4:6">
      <c r="D34" s="65"/>
      <c r="E34" s="65"/>
      <c r="F34" s="65"/>
    </row>
    <row r="35" spans="4:6">
      <c r="D35" s="65"/>
      <c r="E35" s="65"/>
      <c r="F35" s="65"/>
    </row>
    <row r="36" spans="4:6">
      <c r="D36" s="65"/>
      <c r="E36" s="65"/>
      <c r="F36" s="65"/>
    </row>
    <row r="37" spans="4:6">
      <c r="D37" s="65"/>
      <c r="E37" s="65"/>
      <c r="F37" s="65"/>
    </row>
    <row r="38" spans="4:6">
      <c r="D38" s="65"/>
      <c r="E38" s="65"/>
      <c r="F38" s="65"/>
    </row>
    <row r="39" spans="4:6">
      <c r="D39" s="65"/>
      <c r="E39" s="65"/>
      <c r="F39" s="65"/>
    </row>
    <row r="40" spans="4:6">
      <c r="D40" s="65"/>
      <c r="E40" s="65"/>
      <c r="F40" s="65"/>
    </row>
    <row r="41" spans="4:6">
      <c r="D41" s="65"/>
      <c r="E41" s="65"/>
      <c r="F41" s="65"/>
    </row>
    <row r="42" spans="4:6">
      <c r="D42" s="65"/>
      <c r="E42" s="65"/>
      <c r="F42" s="65"/>
    </row>
    <row r="43" spans="4:6">
      <c r="D43" s="65"/>
      <c r="E43" s="65"/>
      <c r="F43" s="65"/>
    </row>
    <row r="44" spans="4:6">
      <c r="D44" s="65"/>
      <c r="E44" s="65"/>
      <c r="F44" s="65"/>
    </row>
    <row r="45" spans="4:6">
      <c r="D45" s="65"/>
      <c r="E45" s="65"/>
      <c r="F45" s="65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438D-F32A-4756-9210-EB87745AADF4}">
  <dimension ref="B1:I43"/>
  <sheetViews>
    <sheetView workbookViewId="0">
      <selection activeCell="H22" sqref="H22"/>
    </sheetView>
  </sheetViews>
  <sheetFormatPr defaultColWidth="8.7109375" defaultRowHeight="13.9"/>
  <cols>
    <col min="1" max="1" width="8.7109375" style="2"/>
    <col min="2" max="2" width="67.7109375" style="2" customWidth="1"/>
    <col min="3" max="3" width="16.28515625" style="2" customWidth="1"/>
    <col min="4" max="4" width="15.28515625" style="2" customWidth="1"/>
    <col min="5" max="5" width="16.140625" style="2" customWidth="1"/>
    <col min="6" max="6" width="17.42578125" style="2" customWidth="1"/>
    <col min="7" max="7" width="8.7109375" style="2"/>
    <col min="8" max="8" width="11" style="2" bestFit="1" customWidth="1"/>
    <col min="9" max="16384" width="8.7109375" style="2"/>
  </cols>
  <sheetData>
    <row r="1" spans="2:9" ht="14.45" thickBot="1"/>
    <row r="2" spans="2:9">
      <c r="B2" s="110" t="s">
        <v>80</v>
      </c>
      <c r="C2" s="111"/>
      <c r="D2" s="111"/>
      <c r="E2" s="111"/>
      <c r="F2" s="112"/>
    </row>
    <row r="3" spans="2:9" ht="16.149999999999999" thickBot="1">
      <c r="B3" s="116" t="s">
        <v>81</v>
      </c>
      <c r="C3" s="117"/>
      <c r="D3" s="117"/>
      <c r="E3" s="117"/>
      <c r="F3" s="118"/>
      <c r="G3" s="103" t="s">
        <v>9</v>
      </c>
      <c r="H3" s="103" t="s">
        <v>9</v>
      </c>
      <c r="I3" s="105">
        <v>8.5</v>
      </c>
    </row>
    <row r="4" spans="2:9">
      <c r="B4" s="36"/>
      <c r="C4" s="37"/>
      <c r="D4" s="37"/>
      <c r="E4" s="37"/>
      <c r="F4" s="38"/>
    </row>
    <row r="5" spans="2:9">
      <c r="B5" s="39" t="s">
        <v>53</v>
      </c>
      <c r="C5" s="40"/>
      <c r="D5" s="3" t="s">
        <v>54</v>
      </c>
      <c r="E5" s="41" t="s">
        <v>55</v>
      </c>
      <c r="F5" s="42" t="s">
        <v>56</v>
      </c>
    </row>
    <row r="6" spans="2:9">
      <c r="B6" s="43" t="s">
        <v>56</v>
      </c>
      <c r="C6" s="44"/>
      <c r="D6" s="45"/>
      <c r="E6" s="44"/>
      <c r="F6" s="46"/>
    </row>
    <row r="7" spans="2:9" ht="15.6">
      <c r="B7" s="47" t="s">
        <v>82</v>
      </c>
      <c r="C7" s="20"/>
      <c r="D7" s="10">
        <f>F7*(15/115)</f>
        <v>150000</v>
      </c>
      <c r="E7" s="103" t="s">
        <v>9</v>
      </c>
      <c r="F7" s="48">
        <v>1150000</v>
      </c>
    </row>
    <row r="8" spans="2:9">
      <c r="B8" s="49"/>
      <c r="C8" s="20"/>
      <c r="D8" s="10"/>
      <c r="E8" s="10"/>
      <c r="F8" s="48"/>
    </row>
    <row r="9" spans="2:9">
      <c r="B9" s="43" t="s">
        <v>55</v>
      </c>
      <c r="C9" s="20"/>
      <c r="D9" s="10"/>
      <c r="E9" s="10"/>
      <c r="F9" s="48"/>
    </row>
    <row r="10" spans="2:9" ht="15.6">
      <c r="B10" s="50" t="s">
        <v>58</v>
      </c>
      <c r="C10" s="103" t="s">
        <v>9</v>
      </c>
      <c r="D10" s="10">
        <v>0</v>
      </c>
      <c r="E10" s="10">
        <f>Schedules!D10</f>
        <v>22218.122550251763</v>
      </c>
      <c r="F10" s="103" t="s">
        <v>9</v>
      </c>
    </row>
    <row r="11" spans="2:9" ht="15.6">
      <c r="B11" s="47" t="s">
        <v>59</v>
      </c>
      <c r="C11" s="103" t="s">
        <v>9</v>
      </c>
      <c r="D11" s="10">
        <f>-E11*(15/115)</f>
        <v>-547.98847712873919</v>
      </c>
      <c r="E11" s="10">
        <f>Schedules!E10</f>
        <v>4201.2449913203336</v>
      </c>
      <c r="F11" s="103" t="s">
        <v>9</v>
      </c>
    </row>
    <row r="12" spans="2:9" ht="15.6">
      <c r="B12" s="50" t="s">
        <v>60</v>
      </c>
      <c r="C12" s="103" t="s">
        <v>9</v>
      </c>
      <c r="D12" s="10">
        <f>-Schedules!E48</f>
        <v>-16912.5</v>
      </c>
      <c r="E12" s="10">
        <f>Schedules!E49</f>
        <v>129662.5</v>
      </c>
      <c r="F12" s="103" t="s">
        <v>9</v>
      </c>
    </row>
    <row r="13" spans="2:9" ht="15.6">
      <c r="B13" s="51" t="s">
        <v>63</v>
      </c>
      <c r="C13" s="20"/>
      <c r="D13" s="10"/>
      <c r="E13" s="13">
        <f>SUM(D7:D12)</f>
        <v>132539.51152287127</v>
      </c>
      <c r="F13" s="103" t="s">
        <v>9</v>
      </c>
    </row>
    <row r="14" spans="2:9">
      <c r="B14" s="52" t="s">
        <v>64</v>
      </c>
      <c r="C14" s="20"/>
      <c r="D14" s="10"/>
      <c r="E14" s="53">
        <f>SUM(E10:E13)</f>
        <v>288621.3790644434</v>
      </c>
      <c r="F14" s="48"/>
    </row>
    <row r="15" spans="2:9">
      <c r="B15" s="49"/>
      <c r="C15" s="20"/>
      <c r="D15" s="10"/>
      <c r="E15" s="10"/>
      <c r="F15" s="48"/>
    </row>
    <row r="16" spans="2:9">
      <c r="B16" s="43" t="s">
        <v>65</v>
      </c>
      <c r="C16" s="19"/>
      <c r="D16" s="10"/>
      <c r="E16" s="10"/>
      <c r="F16" s="48"/>
    </row>
    <row r="17" spans="2:7" ht="28.15">
      <c r="B17" s="47" t="s">
        <v>83</v>
      </c>
      <c r="C17" s="19"/>
      <c r="D17" s="10"/>
      <c r="E17" s="10">
        <f>F7-E14</f>
        <v>861378.6209355566</v>
      </c>
      <c r="F17" s="103" t="s">
        <v>9</v>
      </c>
      <c r="G17" s="103" t="s">
        <v>9</v>
      </c>
    </row>
    <row r="18" spans="2:7" ht="15.6">
      <c r="B18" s="49" t="s">
        <v>67</v>
      </c>
      <c r="C18" s="10">
        <v>1261052.55</v>
      </c>
      <c r="D18" s="103" t="s">
        <v>9</v>
      </c>
      <c r="E18" s="103" t="s">
        <v>9</v>
      </c>
      <c r="F18" s="48"/>
    </row>
    <row r="19" spans="2:7">
      <c r="B19" s="49" t="s">
        <v>68</v>
      </c>
      <c r="C19" s="19">
        <f>(C18*18.75%)*(C22/365)</f>
        <v>125673.38768835619</v>
      </c>
      <c r="D19" s="10"/>
      <c r="E19" s="10"/>
      <c r="F19" s="48"/>
    </row>
    <row r="20" spans="2:7" ht="14.45" thickBot="1">
      <c r="B20" s="49"/>
      <c r="C20" s="54">
        <f>SUM(C18:C19)</f>
        <v>1386725.9376883563</v>
      </c>
      <c r="D20" s="10"/>
      <c r="E20" s="10"/>
      <c r="F20" s="48"/>
    </row>
    <row r="21" spans="2:7">
      <c r="B21" s="49"/>
      <c r="C21" s="20"/>
      <c r="D21" s="10"/>
      <c r="E21" s="10"/>
      <c r="F21" s="48"/>
    </row>
    <row r="22" spans="2:7">
      <c r="B22" s="50" t="s">
        <v>84</v>
      </c>
      <c r="C22" s="55">
        <f>'Encumbered Asset 1'!C25</f>
        <v>194</v>
      </c>
      <c r="D22" s="56" t="s">
        <v>70</v>
      </c>
      <c r="E22" s="10"/>
      <c r="F22" s="48"/>
    </row>
    <row r="23" spans="2:7" ht="15.6">
      <c r="B23" s="103" t="s">
        <v>9</v>
      </c>
      <c r="C23" s="20"/>
      <c r="D23" s="10"/>
      <c r="E23" s="10"/>
      <c r="F23" s="48"/>
    </row>
    <row r="24" spans="2:7">
      <c r="B24" s="50" t="s">
        <v>79</v>
      </c>
      <c r="C24" s="19">
        <f>C20-E17</f>
        <v>525347.31675279967</v>
      </c>
      <c r="D24" s="10"/>
      <c r="E24" s="10"/>
      <c r="F24" s="48"/>
    </row>
    <row r="25" spans="2:7" ht="16.149999999999999" thickBot="1">
      <c r="B25" s="103" t="s">
        <v>9</v>
      </c>
      <c r="C25" s="103" t="s">
        <v>9</v>
      </c>
      <c r="D25" s="58"/>
      <c r="E25" s="58"/>
      <c r="F25" s="59"/>
    </row>
    <row r="26" spans="2:7" ht="14.45" thickBot="1">
      <c r="B26" s="60" t="s">
        <v>12</v>
      </c>
      <c r="C26" s="61"/>
      <c r="D26" s="62"/>
      <c r="E26" s="63">
        <f>E14+E17</f>
        <v>1150000</v>
      </c>
      <c r="F26" s="64">
        <f>F7</f>
        <v>1150000</v>
      </c>
    </row>
    <row r="27" spans="2:7">
      <c r="D27" s="65"/>
      <c r="E27" s="65"/>
      <c r="F27" s="65"/>
    </row>
    <row r="28" spans="2:7">
      <c r="D28" s="65"/>
      <c r="E28" s="65"/>
      <c r="F28" s="65"/>
    </row>
    <row r="29" spans="2:7">
      <c r="D29" s="65"/>
      <c r="E29" s="65"/>
      <c r="F29" s="65"/>
    </row>
    <row r="30" spans="2:7">
      <c r="D30" s="65"/>
      <c r="E30" s="65"/>
      <c r="F30" s="65"/>
    </row>
    <row r="31" spans="2:7">
      <c r="D31" s="65"/>
      <c r="E31" s="65"/>
      <c r="F31" s="65"/>
    </row>
    <row r="32" spans="2:7">
      <c r="D32" s="65"/>
      <c r="E32" s="65"/>
      <c r="F32" s="65"/>
    </row>
    <row r="33" spans="4:6">
      <c r="D33" s="65"/>
      <c r="E33" s="65"/>
      <c r="F33" s="65"/>
    </row>
    <row r="34" spans="4:6">
      <c r="D34" s="65"/>
      <c r="E34" s="65"/>
      <c r="F34" s="65"/>
    </row>
    <row r="35" spans="4:6">
      <c r="D35" s="65"/>
      <c r="E35" s="65"/>
      <c r="F35" s="65"/>
    </row>
    <row r="36" spans="4:6">
      <c r="D36" s="65"/>
      <c r="E36" s="65"/>
      <c r="F36" s="65"/>
    </row>
    <row r="37" spans="4:6">
      <c r="D37" s="65"/>
      <c r="E37" s="65"/>
      <c r="F37" s="65"/>
    </row>
    <row r="38" spans="4:6">
      <c r="D38" s="65"/>
      <c r="E38" s="65"/>
      <c r="F38" s="65"/>
    </row>
    <row r="39" spans="4:6">
      <c r="D39" s="65"/>
      <c r="E39" s="65"/>
      <c r="F39" s="65"/>
    </row>
    <row r="40" spans="4:6">
      <c r="D40" s="65"/>
      <c r="E40" s="65"/>
      <c r="F40" s="65"/>
    </row>
    <row r="41" spans="4:6">
      <c r="D41" s="65"/>
      <c r="E41" s="65"/>
      <c r="F41" s="65"/>
    </row>
    <row r="42" spans="4:6">
      <c r="D42" s="65"/>
      <c r="E42" s="65"/>
      <c r="F42" s="65"/>
    </row>
    <row r="43" spans="4:6">
      <c r="D43" s="65"/>
      <c r="E43" s="65"/>
      <c r="F43" s="65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39B6-D3A1-4361-8072-44E580CC1113}">
  <dimension ref="A1:H60"/>
  <sheetViews>
    <sheetView topLeftCell="A3" workbookViewId="0">
      <selection activeCell="H2" sqref="H2"/>
    </sheetView>
  </sheetViews>
  <sheetFormatPr defaultColWidth="8.7109375" defaultRowHeight="13.9"/>
  <cols>
    <col min="1" max="1" width="8.7109375" style="2"/>
    <col min="2" max="2" width="65.7109375" style="2" customWidth="1"/>
    <col min="3" max="3" width="11" style="2" bestFit="1" customWidth="1"/>
    <col min="4" max="4" width="13.5703125" style="2" customWidth="1"/>
    <col min="5" max="5" width="14.7109375" style="2" customWidth="1"/>
    <col min="6" max="6" width="15.140625" style="2" customWidth="1"/>
    <col min="7" max="16384" width="8.7109375" style="2"/>
  </cols>
  <sheetData>
    <row r="1" spans="1:8" ht="14.45" thickBot="1">
      <c r="A1" s="2" t="s">
        <v>85</v>
      </c>
    </row>
    <row r="2" spans="1:8" ht="16.149999999999999" thickBot="1">
      <c r="B2" s="119" t="s">
        <v>86</v>
      </c>
      <c r="C2" s="120"/>
      <c r="D2" s="120"/>
      <c r="E2" s="120"/>
      <c r="F2" s="121"/>
      <c r="G2" s="103" t="s">
        <v>9</v>
      </c>
      <c r="H2" s="105">
        <v>21</v>
      </c>
    </row>
    <row r="3" spans="1:8">
      <c r="B3" s="36"/>
      <c r="C3" s="37"/>
      <c r="D3" s="37"/>
      <c r="E3" s="37"/>
      <c r="F3" s="38"/>
    </row>
    <row r="4" spans="1:8">
      <c r="B4" s="39" t="s">
        <v>53</v>
      </c>
      <c r="C4" s="3"/>
      <c r="D4" s="3" t="s">
        <v>54</v>
      </c>
      <c r="E4" s="3" t="s">
        <v>55</v>
      </c>
      <c r="F4" s="42" t="s">
        <v>56</v>
      </c>
    </row>
    <row r="5" spans="1:8">
      <c r="B5" s="43" t="s">
        <v>56</v>
      </c>
      <c r="C5" s="44"/>
      <c r="D5" s="1"/>
      <c r="E5" s="44"/>
      <c r="F5" s="46"/>
    </row>
    <row r="6" spans="1:8" ht="28.15">
      <c r="B6" s="47" t="s">
        <v>87</v>
      </c>
      <c r="C6" s="20"/>
      <c r="D6" s="66">
        <f>F6*(15/115)</f>
        <v>30116.621739130434</v>
      </c>
      <c r="E6" s="103" t="s">
        <v>9</v>
      </c>
      <c r="F6" s="48">
        <v>230894.1</v>
      </c>
    </row>
    <row r="7" spans="1:8" ht="28.15">
      <c r="B7" s="47" t="s">
        <v>88</v>
      </c>
      <c r="C7" s="20"/>
      <c r="D7" s="66">
        <f>F7*(15/115)</f>
        <v>5700</v>
      </c>
      <c r="E7" s="103" t="s">
        <v>9</v>
      </c>
      <c r="F7" s="48">
        <v>43700</v>
      </c>
    </row>
    <row r="8" spans="1:8">
      <c r="B8" s="47" t="s">
        <v>89</v>
      </c>
      <c r="C8" s="20"/>
      <c r="D8" s="66">
        <v>0</v>
      </c>
      <c r="E8" s="10"/>
      <c r="F8" s="48">
        <v>88405.08</v>
      </c>
    </row>
    <row r="9" spans="1:8" ht="27.6">
      <c r="B9" s="47" t="s">
        <v>90</v>
      </c>
      <c r="C9" s="20"/>
      <c r="D9" s="66">
        <f>F9*(15/115)</f>
        <v>15766.533913043477</v>
      </c>
      <c r="E9" s="10"/>
      <c r="F9" s="48">
        <v>120876.76</v>
      </c>
    </row>
    <row r="10" spans="1:8">
      <c r="B10" s="47"/>
      <c r="C10" s="20"/>
      <c r="D10" s="66"/>
      <c r="E10" s="10"/>
      <c r="F10" s="48"/>
    </row>
    <row r="11" spans="1:8">
      <c r="B11" s="49"/>
      <c r="C11" s="20"/>
      <c r="D11" s="66"/>
      <c r="E11" s="10"/>
      <c r="F11" s="48"/>
    </row>
    <row r="12" spans="1:8">
      <c r="B12" s="43" t="s">
        <v>55</v>
      </c>
      <c r="C12" s="20"/>
      <c r="D12" s="66"/>
      <c r="E12" s="10"/>
      <c r="F12" s="48"/>
    </row>
    <row r="13" spans="1:8" ht="15.6">
      <c r="B13" s="50" t="s">
        <v>58</v>
      </c>
      <c r="C13" s="103" t="s">
        <v>9</v>
      </c>
      <c r="D13" s="66">
        <v>0</v>
      </c>
      <c r="E13" s="10">
        <f>Schedules!D11</f>
        <v>9348.534725250669</v>
      </c>
      <c r="F13" s="103" t="s">
        <v>9</v>
      </c>
    </row>
    <row r="14" spans="1:8" ht="15.6">
      <c r="B14" s="47" t="s">
        <v>59</v>
      </c>
      <c r="C14" s="103" t="s">
        <v>9</v>
      </c>
      <c r="D14" s="10">
        <f>-E14*(15/115)</f>
        <v>-230.57255606942363</v>
      </c>
      <c r="E14" s="10">
        <f>Schedules!E11</f>
        <v>1767.7229298655811</v>
      </c>
      <c r="F14" s="103" t="s">
        <v>9</v>
      </c>
    </row>
    <row r="15" spans="1:8">
      <c r="B15" s="50" t="s">
        <v>91</v>
      </c>
      <c r="C15" s="20"/>
      <c r="E15" s="20"/>
      <c r="F15" s="48"/>
    </row>
    <row r="16" spans="1:8" ht="15.6">
      <c r="B16" s="67" t="s">
        <v>92</v>
      </c>
      <c r="C16" s="103" t="s">
        <v>9</v>
      </c>
      <c r="D16" s="66">
        <f>-Schedules!E55</f>
        <v>-5816.0007997826087</v>
      </c>
      <c r="E16" s="10">
        <f>Schedules!E56</f>
        <v>44589.339465000005</v>
      </c>
      <c r="F16" s="103" t="s">
        <v>9</v>
      </c>
    </row>
    <row r="17" spans="2:6" ht="14.45">
      <c r="B17" s="67" t="s">
        <v>93</v>
      </c>
      <c r="C17" s="20"/>
      <c r="D17" s="10">
        <f>-E17*(15/115)</f>
        <v>-1326.0762</v>
      </c>
      <c r="E17" s="10">
        <f>(F8*0.1)*1.15</f>
        <v>10166.584199999999</v>
      </c>
      <c r="F17" s="48"/>
    </row>
    <row r="18" spans="2:6" ht="28.15">
      <c r="B18" s="47" t="s">
        <v>75</v>
      </c>
      <c r="C18" s="103" t="s">
        <v>9</v>
      </c>
      <c r="D18" s="10">
        <f>-E18*(15/115)</f>
        <v>-333.23183740283832</v>
      </c>
      <c r="E18" s="10">
        <f>Schedules!D65</f>
        <v>2554.7774200884273</v>
      </c>
      <c r="F18" s="103" t="s">
        <v>9</v>
      </c>
    </row>
    <row r="19" spans="2:6" ht="15.6">
      <c r="B19" s="47" t="s">
        <v>94</v>
      </c>
      <c r="C19" s="103" t="s">
        <v>9</v>
      </c>
      <c r="D19" s="10">
        <f>-E19*(15/115)</f>
        <v>-2430.2517391304345</v>
      </c>
      <c r="E19" s="10">
        <v>18631.93</v>
      </c>
      <c r="F19" s="103" t="s">
        <v>9</v>
      </c>
    </row>
    <row r="20" spans="2:6" ht="27.6">
      <c r="B20" s="47" t="s">
        <v>95</v>
      </c>
      <c r="C20" s="20"/>
      <c r="D20" s="66">
        <v>0</v>
      </c>
      <c r="E20" s="10">
        <v>15000</v>
      </c>
      <c r="F20" s="48"/>
    </row>
    <row r="21" spans="2:6">
      <c r="B21" s="47" t="s">
        <v>96</v>
      </c>
      <c r="C21" s="20"/>
      <c r="D21" s="66"/>
      <c r="E21" s="10"/>
      <c r="F21" s="48"/>
    </row>
    <row r="22" spans="2:6" ht="15.6">
      <c r="B22" s="67" t="s">
        <v>97</v>
      </c>
      <c r="C22" s="103" t="s">
        <v>9</v>
      </c>
      <c r="D22" s="10">
        <f t="shared" ref="D22:D28" si="0">-E22*(15/115)</f>
        <v>-120</v>
      </c>
      <c r="E22" s="10">
        <v>920</v>
      </c>
      <c r="F22" s="103" t="s">
        <v>9</v>
      </c>
    </row>
    <row r="23" spans="2:6" ht="15.6">
      <c r="B23" s="67" t="s">
        <v>98</v>
      </c>
      <c r="C23" s="103" t="s">
        <v>9</v>
      </c>
      <c r="D23" s="10">
        <f t="shared" si="0"/>
        <v>-4.9330434782608696</v>
      </c>
      <c r="E23" s="10">
        <v>37.82</v>
      </c>
      <c r="F23" s="103" t="s">
        <v>9</v>
      </c>
    </row>
    <row r="24" spans="2:6" ht="15.6">
      <c r="B24" s="67" t="s">
        <v>99</v>
      </c>
      <c r="C24" s="103" t="s">
        <v>9</v>
      </c>
      <c r="D24" s="10">
        <f t="shared" si="0"/>
        <v>-4.9330434782608696</v>
      </c>
      <c r="E24" s="10">
        <v>37.82</v>
      </c>
      <c r="F24" s="103" t="s">
        <v>9</v>
      </c>
    </row>
    <row r="25" spans="2:6" ht="15.6">
      <c r="B25" s="67" t="s">
        <v>100</v>
      </c>
      <c r="C25" s="103" t="s">
        <v>9</v>
      </c>
      <c r="D25" s="10">
        <f t="shared" si="0"/>
        <v>-4.9330434782608696</v>
      </c>
      <c r="E25" s="10">
        <v>37.82</v>
      </c>
      <c r="F25" s="103" t="s">
        <v>9</v>
      </c>
    </row>
    <row r="26" spans="2:6" ht="15.6">
      <c r="B26" s="50" t="s">
        <v>101</v>
      </c>
      <c r="C26" s="103" t="s">
        <v>9</v>
      </c>
      <c r="D26" s="66">
        <f t="shared" si="0"/>
        <v>-52.173913043478258</v>
      </c>
      <c r="E26" s="10">
        <v>400</v>
      </c>
      <c r="F26" s="103" t="s">
        <v>9</v>
      </c>
    </row>
    <row r="27" spans="2:6" ht="15.6">
      <c r="B27" s="50" t="s">
        <v>102</v>
      </c>
      <c r="C27" s="103" t="s">
        <v>9</v>
      </c>
      <c r="D27" s="66">
        <f t="shared" si="0"/>
        <v>-134.34782608695653</v>
      </c>
      <c r="E27" s="10">
        <v>1030</v>
      </c>
      <c r="F27" s="103" t="s">
        <v>9</v>
      </c>
    </row>
    <row r="28" spans="2:6" ht="15.6">
      <c r="B28" s="50" t="s">
        <v>103</v>
      </c>
      <c r="C28" s="103" t="s">
        <v>9</v>
      </c>
      <c r="D28" s="66">
        <f t="shared" si="0"/>
        <v>-901.83913043478265</v>
      </c>
      <c r="E28" s="10">
        <v>6914.1</v>
      </c>
      <c r="F28" s="103" t="s">
        <v>9</v>
      </c>
    </row>
    <row r="29" spans="2:6">
      <c r="B29" s="51" t="s">
        <v>63</v>
      </c>
      <c r="C29" s="20"/>
      <c r="D29" s="66"/>
      <c r="E29" s="13">
        <f>SUM(D6:D28)</f>
        <v>40223.862519788592</v>
      </c>
      <c r="F29" s="48"/>
    </row>
    <row r="30" spans="2:6">
      <c r="B30" s="52" t="s">
        <v>64</v>
      </c>
      <c r="C30" s="20"/>
      <c r="D30" s="66"/>
      <c r="E30" s="53">
        <f>SUM(E13:E29)</f>
        <v>151660.31125999329</v>
      </c>
      <c r="F30" s="48"/>
    </row>
    <row r="31" spans="2:6">
      <c r="B31" s="49"/>
      <c r="C31" s="20"/>
      <c r="D31" s="66"/>
      <c r="E31" s="10"/>
      <c r="F31" s="48"/>
    </row>
    <row r="32" spans="2:6">
      <c r="B32" s="43" t="s">
        <v>65</v>
      </c>
      <c r="C32" s="19"/>
      <c r="D32" s="66"/>
      <c r="E32" s="10"/>
      <c r="F32" s="48"/>
    </row>
    <row r="33" spans="1:7">
      <c r="B33" s="68" t="s">
        <v>104</v>
      </c>
      <c r="C33" s="19"/>
      <c r="E33" s="53">
        <f>E34+E38+E41</f>
        <v>162186.64000000001</v>
      </c>
      <c r="F33" s="48"/>
    </row>
    <row r="34" spans="1:7" ht="15.6">
      <c r="B34" s="69" t="s">
        <v>105</v>
      </c>
      <c r="C34" s="103" t="s">
        <v>9</v>
      </c>
      <c r="E34" s="7">
        <f>12000+4000</f>
        <v>16000</v>
      </c>
      <c r="F34" s="103" t="s">
        <v>9</v>
      </c>
      <c r="G34" s="103" t="s">
        <v>9</v>
      </c>
    </row>
    <row r="35" spans="1:7" ht="15.6">
      <c r="B35" s="50" t="s">
        <v>106</v>
      </c>
      <c r="C35" s="103" t="s">
        <v>9</v>
      </c>
      <c r="D35" s="66"/>
      <c r="E35" s="10"/>
      <c r="F35" s="48"/>
    </row>
    <row r="36" spans="1:7" ht="15.6">
      <c r="B36" s="50" t="s">
        <v>107</v>
      </c>
      <c r="C36" s="103" t="s">
        <v>9</v>
      </c>
      <c r="D36" s="66"/>
      <c r="E36" s="10"/>
      <c r="F36" s="48"/>
    </row>
    <row r="37" spans="1:7">
      <c r="B37" s="50"/>
      <c r="C37" s="20"/>
      <c r="D37" s="66"/>
      <c r="E37" s="10"/>
      <c r="F37" s="48"/>
    </row>
    <row r="38" spans="1:7" ht="15.6">
      <c r="B38" s="69" t="s">
        <v>108</v>
      </c>
      <c r="C38" s="103" t="s">
        <v>9</v>
      </c>
      <c r="E38" s="10">
        <v>9000</v>
      </c>
      <c r="F38" s="103" t="s">
        <v>9</v>
      </c>
      <c r="G38" s="103" t="s">
        <v>9</v>
      </c>
    </row>
    <row r="39" spans="1:7" ht="15.6">
      <c r="B39" s="50" t="s">
        <v>109</v>
      </c>
      <c r="C39" s="103" t="s">
        <v>9</v>
      </c>
      <c r="D39" s="66"/>
      <c r="E39" s="10"/>
      <c r="F39" s="48"/>
    </row>
    <row r="40" spans="1:7">
      <c r="B40" s="49"/>
      <c r="C40" s="20"/>
      <c r="D40" s="66"/>
      <c r="E40" s="10"/>
      <c r="F40" s="48"/>
    </row>
    <row r="41" spans="1:7" ht="15.6">
      <c r="A41" s="70"/>
      <c r="B41" s="71" t="s">
        <v>110</v>
      </c>
      <c r="C41" s="20"/>
      <c r="D41" s="66"/>
      <c r="E41" s="10">
        <v>137186.64000000001</v>
      </c>
      <c r="F41" s="103" t="s">
        <v>9</v>
      </c>
      <c r="G41" s="103" t="s">
        <v>9</v>
      </c>
    </row>
    <row r="42" spans="1:7" ht="15.6">
      <c r="A42" s="70"/>
      <c r="B42" s="67" t="s">
        <v>111</v>
      </c>
      <c r="C42" s="103" t="s">
        <v>9</v>
      </c>
      <c r="D42" s="66"/>
      <c r="E42" s="20"/>
      <c r="F42" s="103" t="s">
        <v>9</v>
      </c>
      <c r="G42" s="103" t="s">
        <v>9</v>
      </c>
    </row>
    <row r="43" spans="1:7" ht="15.6">
      <c r="A43" s="70"/>
      <c r="B43" s="67" t="s">
        <v>112</v>
      </c>
      <c r="C43" s="103" t="s">
        <v>9</v>
      </c>
      <c r="D43" s="66"/>
      <c r="E43" s="13"/>
      <c r="F43" s="48"/>
    </row>
    <row r="44" spans="1:7" ht="14.45">
      <c r="B44" s="72"/>
      <c r="C44" s="20"/>
      <c r="D44" s="66"/>
      <c r="E44" s="10"/>
      <c r="F44" s="48"/>
    </row>
    <row r="45" spans="1:7">
      <c r="B45" s="68" t="s">
        <v>113</v>
      </c>
      <c r="C45" s="20"/>
      <c r="D45" s="66"/>
      <c r="E45" s="10"/>
      <c r="F45" s="48"/>
    </row>
    <row r="46" spans="1:7">
      <c r="B46" s="50" t="s">
        <v>114</v>
      </c>
      <c r="C46" s="73"/>
      <c r="D46" s="66"/>
      <c r="E46" s="10">
        <f>F48-E30-E33</f>
        <v>170028.98874000669</v>
      </c>
      <c r="F46" s="48"/>
    </row>
    <row r="47" spans="1:7" ht="14.45" thickBot="1">
      <c r="B47" s="51"/>
      <c r="C47" s="20"/>
      <c r="D47" s="66"/>
      <c r="E47" s="10"/>
      <c r="F47" s="48"/>
    </row>
    <row r="48" spans="1:7" ht="14.45" thickBot="1">
      <c r="B48" s="60" t="s">
        <v>12</v>
      </c>
      <c r="C48" s="74"/>
      <c r="D48" s="63"/>
      <c r="E48" s="63">
        <f>E30+E33+E46</f>
        <v>483875.94</v>
      </c>
      <c r="F48" s="64">
        <f>F6+F7+F8+F9</f>
        <v>483875.94</v>
      </c>
    </row>
    <row r="49" spans="3:6">
      <c r="D49" s="65"/>
      <c r="E49" s="65"/>
      <c r="F49" s="65"/>
    </row>
    <row r="50" spans="3:6">
      <c r="C50" s="65"/>
      <c r="D50" s="65"/>
      <c r="E50" s="65"/>
      <c r="F50" s="65"/>
    </row>
    <row r="51" spans="3:6">
      <c r="D51" s="65"/>
      <c r="E51" s="65"/>
      <c r="F51" s="65"/>
    </row>
    <row r="52" spans="3:6">
      <c r="D52" s="65"/>
      <c r="E52" s="65"/>
      <c r="F52" s="65"/>
    </row>
    <row r="53" spans="3:6">
      <c r="D53" s="65"/>
      <c r="E53" s="65"/>
      <c r="F53" s="65"/>
    </row>
    <row r="54" spans="3:6">
      <c r="D54" s="65"/>
      <c r="E54" s="65"/>
      <c r="F54" s="65"/>
    </row>
    <row r="55" spans="3:6">
      <c r="D55" s="65"/>
      <c r="E55" s="65"/>
      <c r="F55" s="65"/>
    </row>
    <row r="56" spans="3:6">
      <c r="D56" s="65"/>
      <c r="E56" s="65"/>
      <c r="F56" s="65"/>
    </row>
    <row r="57" spans="3:6">
      <c r="D57" s="65"/>
      <c r="E57" s="65"/>
      <c r="F57" s="65"/>
    </row>
    <row r="58" spans="3:6">
      <c r="D58" s="65"/>
      <c r="E58" s="65"/>
      <c r="F58" s="65"/>
    </row>
    <row r="59" spans="3:6">
      <c r="D59" s="65"/>
      <c r="E59" s="65"/>
      <c r="F59" s="65"/>
    </row>
    <row r="60" spans="3:6">
      <c r="D60" s="65"/>
      <c r="E60" s="65"/>
      <c r="F60" s="65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CB9C-F551-4740-8BF1-3E0E2849B57B}">
  <dimension ref="B1:M19"/>
  <sheetViews>
    <sheetView workbookViewId="0">
      <selection activeCell="L2" sqref="L2"/>
    </sheetView>
  </sheetViews>
  <sheetFormatPr defaultColWidth="8.7109375" defaultRowHeight="13.9"/>
  <cols>
    <col min="1" max="1" width="8.7109375" style="2"/>
    <col min="2" max="2" width="8.7109375" style="2" bestFit="1" customWidth="1"/>
    <col min="3" max="3" width="42.28515625" style="2" bestFit="1" customWidth="1"/>
    <col min="4" max="4" width="22.7109375" style="2" customWidth="1"/>
    <col min="5" max="5" width="17.28515625" style="2" customWidth="1"/>
    <col min="6" max="6" width="22.7109375" style="2" customWidth="1"/>
    <col min="7" max="7" width="16.28515625" style="2" bestFit="1" customWidth="1"/>
    <col min="8" max="8" width="15.7109375" style="2" customWidth="1"/>
    <col min="9" max="9" width="15.140625" style="2" customWidth="1"/>
    <col min="10" max="16384" width="8.7109375" style="2"/>
  </cols>
  <sheetData>
    <row r="1" spans="2:13" ht="14.45" thickBot="1"/>
    <row r="2" spans="2:13" ht="15">
      <c r="B2" s="119" t="s">
        <v>115</v>
      </c>
      <c r="C2" s="120"/>
      <c r="D2" s="120"/>
      <c r="E2" s="120"/>
      <c r="F2" s="120"/>
      <c r="G2" s="120"/>
      <c r="H2" s="120"/>
      <c r="I2" s="121"/>
      <c r="L2" s="122">
        <v>4.5</v>
      </c>
    </row>
    <row r="3" spans="2:13">
      <c r="B3" s="36"/>
      <c r="C3" s="37"/>
      <c r="D3" s="37"/>
      <c r="E3" s="37"/>
      <c r="F3" s="37"/>
      <c r="G3" s="37"/>
      <c r="H3" s="37"/>
      <c r="I3" s="75">
        <f>'Free Residue'!E46/'L +D Account'!G15</f>
        <v>0.10151072249589335</v>
      </c>
    </row>
    <row r="4" spans="2:13" ht="41.45">
      <c r="B4" s="76" t="s">
        <v>116</v>
      </c>
      <c r="C4" s="32" t="s">
        <v>117</v>
      </c>
      <c r="D4" s="32" t="s">
        <v>118</v>
      </c>
      <c r="E4" s="32" t="s">
        <v>119</v>
      </c>
      <c r="F4" s="32" t="s">
        <v>120</v>
      </c>
      <c r="G4" s="32" t="s">
        <v>121</v>
      </c>
      <c r="H4" s="77" t="s">
        <v>122</v>
      </c>
      <c r="I4" s="78" t="s">
        <v>123</v>
      </c>
    </row>
    <row r="5" spans="2:13" ht="28.9" customHeight="1">
      <c r="B5" s="79">
        <v>1</v>
      </c>
      <c r="C5" s="27" t="s">
        <v>124</v>
      </c>
      <c r="D5" s="80" t="s">
        <v>125</v>
      </c>
      <c r="E5" s="23">
        <f>'Encumbered Asset 1'!E20</f>
        <v>6946200.7178378832</v>
      </c>
      <c r="F5" s="23">
        <v>0</v>
      </c>
      <c r="G5" s="23">
        <v>0</v>
      </c>
      <c r="H5" s="23">
        <f>E5</f>
        <v>6946200.7178378832</v>
      </c>
      <c r="I5" s="81">
        <f>G5*I3</f>
        <v>0</v>
      </c>
      <c r="K5" s="103" t="s">
        <v>9</v>
      </c>
    </row>
    <row r="6" spans="2:13" ht="42">
      <c r="B6" s="79">
        <v>2</v>
      </c>
      <c r="C6" s="27" t="s">
        <v>126</v>
      </c>
      <c r="D6" s="80" t="s">
        <v>127</v>
      </c>
      <c r="E6" s="23">
        <f>'Encumbered Asset 2'!E19</f>
        <v>2568390.4266909016</v>
      </c>
      <c r="F6" s="65">
        <v>0</v>
      </c>
      <c r="G6" s="23">
        <f>'Encumbered Asset 2'!C26</f>
        <v>915559.28782663308</v>
      </c>
      <c r="H6" s="23">
        <f>E6</f>
        <v>2568390.4266909016</v>
      </c>
      <c r="I6" s="81">
        <f>G6*$I$3</f>
        <v>92939.084795107105</v>
      </c>
      <c r="K6" s="103" t="s">
        <v>9</v>
      </c>
    </row>
    <row r="7" spans="2:13">
      <c r="B7" s="79">
        <v>3</v>
      </c>
      <c r="C7" s="27" t="s">
        <v>128</v>
      </c>
      <c r="D7" s="23">
        <v>17410.61</v>
      </c>
      <c r="E7" s="23">
        <v>0</v>
      </c>
      <c r="F7" s="23">
        <v>0</v>
      </c>
      <c r="G7" s="23">
        <f>D7</f>
        <v>17410.61</v>
      </c>
      <c r="H7" s="23">
        <v>0</v>
      </c>
      <c r="I7" s="81">
        <f t="shared" ref="I7:I14" si="0">G7*$I$3</f>
        <v>1767.3636001942259</v>
      </c>
    </row>
    <row r="8" spans="2:13" ht="42">
      <c r="B8" s="79">
        <v>4</v>
      </c>
      <c r="C8" s="27" t="s">
        <v>129</v>
      </c>
      <c r="D8" s="80" t="s">
        <v>130</v>
      </c>
      <c r="E8" s="23">
        <f>'Encumbered Asset 3'!E17</f>
        <v>861378.6209355566</v>
      </c>
      <c r="F8" s="65">
        <v>0</v>
      </c>
      <c r="G8" s="23">
        <f>'Encumbered Asset 3'!C24</f>
        <v>525347.31675279967</v>
      </c>
      <c r="H8" s="23">
        <f>E8</f>
        <v>861378.6209355566</v>
      </c>
      <c r="I8" s="81">
        <f t="shared" si="0"/>
        <v>53328.385684855632</v>
      </c>
      <c r="K8" s="103" t="s">
        <v>9</v>
      </c>
    </row>
    <row r="9" spans="2:13" ht="15.6">
      <c r="B9" s="79">
        <v>5</v>
      </c>
      <c r="C9" s="27" t="s">
        <v>131</v>
      </c>
      <c r="D9" s="23">
        <v>137186.64000000001</v>
      </c>
      <c r="E9" s="23">
        <v>0</v>
      </c>
      <c r="F9" s="21">
        <f>D9</f>
        <v>137186.64000000001</v>
      </c>
      <c r="G9" s="23">
        <v>0</v>
      </c>
      <c r="H9" s="23">
        <f>F9</f>
        <v>137186.64000000001</v>
      </c>
      <c r="I9" s="81">
        <f t="shared" si="0"/>
        <v>0</v>
      </c>
      <c r="K9" s="103" t="s">
        <v>9</v>
      </c>
    </row>
    <row r="10" spans="2:13">
      <c r="B10" s="79">
        <v>6</v>
      </c>
      <c r="C10" s="27" t="s">
        <v>132</v>
      </c>
      <c r="D10" s="80">
        <v>3668.29</v>
      </c>
      <c r="E10" s="23">
        <v>0</v>
      </c>
      <c r="F10" s="23">
        <v>0</v>
      </c>
      <c r="G10" s="23">
        <f>D10</f>
        <v>3668.29</v>
      </c>
      <c r="H10" s="23">
        <f>E10</f>
        <v>0</v>
      </c>
      <c r="I10" s="81">
        <f t="shared" si="0"/>
        <v>372.37076822446062</v>
      </c>
    </row>
    <row r="11" spans="2:13" ht="28.15">
      <c r="B11" s="79">
        <v>7</v>
      </c>
      <c r="C11" s="27" t="s">
        <v>133</v>
      </c>
      <c r="D11" s="23">
        <f>(12000*4)+6000</f>
        <v>54000</v>
      </c>
      <c r="E11" s="23">
        <v>0</v>
      </c>
      <c r="F11" s="80" t="s">
        <v>134</v>
      </c>
      <c r="G11" s="23">
        <f>D11-'Free Residue'!E34</f>
        <v>38000</v>
      </c>
      <c r="H11" s="23">
        <f>'Free Residue'!E34</f>
        <v>16000</v>
      </c>
      <c r="I11" s="81">
        <f>G11*$I$3</f>
        <v>3857.4074548439476</v>
      </c>
      <c r="K11" s="103" t="s">
        <v>9</v>
      </c>
      <c r="L11" s="103" t="s">
        <v>9</v>
      </c>
      <c r="M11" s="103" t="s">
        <v>9</v>
      </c>
    </row>
    <row r="12" spans="2:13">
      <c r="B12" s="79">
        <v>8</v>
      </c>
      <c r="C12" s="27" t="s">
        <v>135</v>
      </c>
      <c r="D12" s="80">
        <v>100000</v>
      </c>
      <c r="E12" s="23">
        <v>0</v>
      </c>
      <c r="F12" s="23">
        <v>0</v>
      </c>
      <c r="G12" s="23">
        <f>D12</f>
        <v>100000</v>
      </c>
      <c r="H12" s="23">
        <v>0</v>
      </c>
      <c r="I12" s="81">
        <f t="shared" si="0"/>
        <v>10151.072249589335</v>
      </c>
    </row>
    <row r="13" spans="2:13">
      <c r="B13" s="79">
        <v>9</v>
      </c>
      <c r="C13" s="27" t="s">
        <v>136</v>
      </c>
      <c r="D13" s="23">
        <v>72000</v>
      </c>
      <c r="E13" s="23">
        <v>0</v>
      </c>
      <c r="F13" s="80">
        <v>0</v>
      </c>
      <c r="G13" s="23">
        <f>D13</f>
        <v>72000</v>
      </c>
      <c r="H13" s="23">
        <v>0</v>
      </c>
      <c r="I13" s="81">
        <f t="shared" si="0"/>
        <v>7308.7720197043209</v>
      </c>
    </row>
    <row r="14" spans="2:13" ht="14.45" thickBot="1">
      <c r="B14" s="82">
        <v>10</v>
      </c>
      <c r="C14" s="18" t="s">
        <v>137</v>
      </c>
      <c r="D14" s="7">
        <v>12000</v>
      </c>
      <c r="E14" s="7">
        <v>0</v>
      </c>
      <c r="F14" s="80" t="s">
        <v>138</v>
      </c>
      <c r="G14" s="7">
        <v>3000</v>
      </c>
      <c r="H14" s="7">
        <v>0</v>
      </c>
      <c r="I14" s="81">
        <f t="shared" si="0"/>
        <v>304.53216748768006</v>
      </c>
    </row>
    <row r="15" spans="2:13" s="26" customFormat="1" ht="14.45" thickBot="1">
      <c r="B15" s="83"/>
      <c r="C15" s="84" t="s">
        <v>12</v>
      </c>
      <c r="D15" s="63"/>
      <c r="E15" s="63"/>
      <c r="F15" s="63"/>
      <c r="G15" s="63">
        <f>SUM(G5:G14)</f>
        <v>1674985.5045794328</v>
      </c>
      <c r="H15" s="63">
        <f t="shared" ref="H15" si="1">SUM(H5:H14)</f>
        <v>10529156.405464342</v>
      </c>
      <c r="I15" s="63">
        <f>SUM(I5:I14)</f>
        <v>170028.98874000672</v>
      </c>
    </row>
    <row r="17" spans="3:9" ht="14.45" thickBot="1">
      <c r="C17" s="85" t="s">
        <v>139</v>
      </c>
      <c r="G17" s="86">
        <f>G15</f>
        <v>1674985.5045794328</v>
      </c>
      <c r="H17" s="87"/>
      <c r="I17" s="86">
        <f>I15</f>
        <v>170028.98874000672</v>
      </c>
    </row>
    <row r="18" spans="3:9" ht="14.45" thickTop="1">
      <c r="G18" s="88"/>
    </row>
    <row r="19" spans="3:9" ht="15.6">
      <c r="C19" s="26" t="s">
        <v>140</v>
      </c>
      <c r="D19" s="103" t="s">
        <v>9</v>
      </c>
      <c r="E19" s="103" t="s">
        <v>9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60B3-9F80-4E68-A206-592AD4661238}">
  <dimension ref="B2:H33"/>
  <sheetViews>
    <sheetView workbookViewId="0">
      <selection activeCell="K12" sqref="K12"/>
    </sheetView>
  </sheetViews>
  <sheetFormatPr defaultColWidth="8.7109375" defaultRowHeight="13.9"/>
  <cols>
    <col min="1" max="1" width="8.7109375" style="2"/>
    <col min="2" max="2" width="56.7109375" style="70" customWidth="1"/>
    <col min="3" max="3" width="16.28515625" style="2" customWidth="1"/>
    <col min="4" max="4" width="16.42578125" style="2" customWidth="1"/>
    <col min="5" max="16384" width="8.7109375" style="2"/>
  </cols>
  <sheetData>
    <row r="2" spans="2:8">
      <c r="B2" s="89" t="s">
        <v>141</v>
      </c>
    </row>
    <row r="3" spans="2:8">
      <c r="H3" s="105">
        <v>4</v>
      </c>
    </row>
    <row r="4" spans="2:8">
      <c r="B4" s="90" t="s">
        <v>142</v>
      </c>
      <c r="C4" s="91"/>
      <c r="D4" s="92"/>
    </row>
    <row r="5" spans="2:8">
      <c r="B5" s="93" t="s">
        <v>53</v>
      </c>
      <c r="C5" s="94" t="s">
        <v>55</v>
      </c>
      <c r="D5" s="95" t="s">
        <v>56</v>
      </c>
    </row>
    <row r="6" spans="2:8" ht="15.6">
      <c r="B6" s="22" t="s">
        <v>143</v>
      </c>
      <c r="C6" s="66"/>
      <c r="D6" s="96">
        <v>13552455.810000001</v>
      </c>
      <c r="F6" s="103" t="s">
        <v>9</v>
      </c>
      <c r="G6" s="103" t="s">
        <v>9</v>
      </c>
    </row>
    <row r="7" spans="2:8">
      <c r="B7" s="22"/>
      <c r="C7" s="66"/>
      <c r="D7" s="96"/>
    </row>
    <row r="8" spans="2:8">
      <c r="B8" s="22"/>
      <c r="C8" s="66"/>
      <c r="D8" s="96"/>
    </row>
    <row r="9" spans="2:8">
      <c r="B9" s="97" t="s">
        <v>144</v>
      </c>
      <c r="C9" s="66"/>
      <c r="D9" s="96"/>
    </row>
    <row r="10" spans="2:8">
      <c r="B10" s="22" t="s">
        <v>145</v>
      </c>
      <c r="C10" s="66">
        <v>26000</v>
      </c>
      <c r="D10" s="96"/>
    </row>
    <row r="11" spans="2:8">
      <c r="B11" s="22" t="s">
        <v>146</v>
      </c>
      <c r="C11" s="66">
        <f>Schedules!D12</f>
        <v>275000</v>
      </c>
      <c r="D11" s="96"/>
    </row>
    <row r="12" spans="2:8">
      <c r="B12" s="22" t="s">
        <v>91</v>
      </c>
      <c r="C12" s="66">
        <f>Schedules!E35+Schedules!E42+Schedules!E49+Schedules!E56+'Free Residue'!E17</f>
        <v>886850.92366500001</v>
      </c>
      <c r="D12" s="96"/>
    </row>
    <row r="13" spans="2:8">
      <c r="B13" s="22" t="s">
        <v>147</v>
      </c>
      <c r="C13" s="66">
        <v>150</v>
      </c>
      <c r="D13" s="96"/>
    </row>
    <row r="14" spans="2:8">
      <c r="B14" s="22" t="s">
        <v>148</v>
      </c>
      <c r="C14" s="66">
        <f>'Free Residue'!E27</f>
        <v>1030</v>
      </c>
      <c r="D14" s="96"/>
    </row>
    <row r="15" spans="2:8" ht="15.6">
      <c r="B15" s="22" t="s">
        <v>149</v>
      </c>
      <c r="C15" s="66">
        <f>Schedules!E77</f>
        <v>1655201.6721306518</v>
      </c>
      <c r="D15" s="96"/>
      <c r="F15" s="103" t="s">
        <v>9</v>
      </c>
      <c r="G15" s="103" t="s">
        <v>9</v>
      </c>
    </row>
    <row r="16" spans="2:8">
      <c r="B16" s="22"/>
      <c r="C16" s="66"/>
      <c r="D16" s="96"/>
    </row>
    <row r="17" spans="2:7">
      <c r="B17" s="97" t="s">
        <v>150</v>
      </c>
      <c r="C17" s="66"/>
      <c r="D17" s="96"/>
    </row>
    <row r="18" spans="2:7">
      <c r="B18" s="22" t="s">
        <v>151</v>
      </c>
      <c r="C18" s="66">
        <f>'Encumbered Asset 1'!E20</f>
        <v>6946200.7178378832</v>
      </c>
      <c r="D18" s="96"/>
    </row>
    <row r="19" spans="2:7">
      <c r="B19" s="22" t="s">
        <v>152</v>
      </c>
      <c r="C19" s="66">
        <f>'Encumbered Asset 2'!E19</f>
        <v>2568390.4266909016</v>
      </c>
      <c r="D19" s="96"/>
    </row>
    <row r="20" spans="2:7">
      <c r="B20" s="22" t="s">
        <v>153</v>
      </c>
      <c r="C20" s="66">
        <f>'Encumbered Asset 3'!E17</f>
        <v>861378.6209355566</v>
      </c>
      <c r="D20" s="96"/>
    </row>
    <row r="21" spans="2:7">
      <c r="B21" s="22"/>
      <c r="C21" s="66"/>
      <c r="D21" s="96"/>
    </row>
    <row r="22" spans="2:7">
      <c r="B22" s="97" t="s">
        <v>37</v>
      </c>
      <c r="C22" s="66"/>
      <c r="D22" s="96"/>
    </row>
    <row r="23" spans="2:7">
      <c r="B23" s="22" t="s">
        <v>154</v>
      </c>
      <c r="C23" s="66">
        <f>'Free Residue'!E34</f>
        <v>16000</v>
      </c>
      <c r="D23" s="96"/>
    </row>
    <row r="24" spans="2:7">
      <c r="B24" s="22" t="s">
        <v>155</v>
      </c>
      <c r="C24" s="66">
        <f>'Free Residue'!E38</f>
        <v>9000</v>
      </c>
      <c r="D24" s="96"/>
    </row>
    <row r="25" spans="2:7" ht="15.6">
      <c r="B25" s="22" t="s">
        <v>156</v>
      </c>
      <c r="C25" s="66">
        <f>'Free Residue'!E41</f>
        <v>137186.64000000001</v>
      </c>
      <c r="D25" s="96"/>
      <c r="F25" s="103" t="s">
        <v>9</v>
      </c>
      <c r="G25" s="103" t="s">
        <v>9</v>
      </c>
    </row>
    <row r="26" spans="2:7">
      <c r="B26" s="22"/>
      <c r="C26" s="66"/>
      <c r="D26" s="96"/>
    </row>
    <row r="27" spans="2:7">
      <c r="B27" s="22" t="s">
        <v>157</v>
      </c>
      <c r="C27" s="66">
        <f>'Free Residue'!E46</f>
        <v>170028.98874000669</v>
      </c>
      <c r="D27" s="96"/>
    </row>
    <row r="28" spans="2:7" ht="15.6">
      <c r="B28" s="98"/>
      <c r="C28" s="99"/>
      <c r="D28" s="100"/>
      <c r="F28" s="103" t="s">
        <v>9</v>
      </c>
      <c r="G28" s="103" t="s">
        <v>9</v>
      </c>
    </row>
    <row r="29" spans="2:7" ht="14.45" thickBot="1">
      <c r="B29" s="101" t="s">
        <v>12</v>
      </c>
      <c r="C29" s="31">
        <f>SUM(C10:C28)</f>
        <v>13552417.990000002</v>
      </c>
      <c r="D29" s="31">
        <f>D6</f>
        <v>13552455.810000001</v>
      </c>
      <c r="F29" s="21"/>
    </row>
    <row r="30" spans="2:7" ht="14.45" thickTop="1"/>
    <row r="33" spans="4:4">
      <c r="D33" s="10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1A8FC-4920-4BF4-8384-0C4FAF1F6083}"/>
</file>

<file path=customXml/itemProps2.xml><?xml version="1.0" encoding="utf-8"?>
<ds:datastoreItem xmlns:ds="http://schemas.openxmlformats.org/officeDocument/2006/customXml" ds:itemID="{B53B92EC-198C-4A42-9946-E2A3A6649F46}"/>
</file>

<file path=customXml/itemProps3.xml><?xml version="1.0" encoding="utf-8"?>
<ds:datastoreItem xmlns:ds="http://schemas.openxmlformats.org/officeDocument/2006/customXml" ds:itemID="{2564CC32-39A3-4C4C-8EFD-91FD54B9A1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Standard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Mongale, Matshediso OS</dc:creator>
  <cp:keywords/>
  <dc:description/>
  <cp:lastModifiedBy>Brenda Bennett</cp:lastModifiedBy>
  <cp:revision/>
  <dcterms:created xsi:type="dcterms:W3CDTF">2023-11-25T19:01:09Z</dcterms:created>
  <dcterms:modified xsi:type="dcterms:W3CDTF">2023-12-12T09:36:34Z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2023-11-26T06:43:49Z</vt:lpwstr>
  </property>
  <property fmtid="{D5CDD505-2E9C-101B-9397-08002B2CF9AE}" pid="4" name="MSIP_Label_027a3850-2850-457c-8efb-fdd5fa4d27d3_Method">
    <vt:lpwstr>Standard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98992c48-b1bf-47fb-840a-ef7d6f86a921</vt:lpwstr>
  </property>
  <property fmtid="{D5CDD505-2E9C-101B-9397-08002B2CF9AE}" pid="8" name="MSIP_Label_027a3850-2850-457c-8efb-fdd5fa4d27d3_ContentBits">
    <vt:lpwstr>0</vt:lpwstr>
  </property>
  <property fmtid="{D5CDD505-2E9C-101B-9397-08002B2CF9AE}" pid="9" name="ContentTypeId">
    <vt:lpwstr>0x010100577F7206F1EE55429EB5AA074FE10A67</vt:lpwstr>
  </property>
  <property fmtid="{D5CDD505-2E9C-101B-9397-08002B2CF9AE}" pid="10" name="MediaServiceImageTags">
    <vt:lpwstr/>
  </property>
</Properties>
</file>