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20" documentId="13_ncr:1_{73F41664-03C7-4A84-8FC4-AFE04EE9C899}" xr6:coauthVersionLast="47" xr6:coauthVersionMax="47" xr10:uidLastSave="{FFE566F6-7779-4371-8D0F-7B0F54A2E23D}"/>
  <bookViews>
    <workbookView xWindow="-108" yWindow="-108" windowWidth="23256" windowHeight="12576" xr2:uid="{14030DC5-6C29-4754-9E35-942D57E69C31}"/>
  </bookViews>
  <sheets>
    <sheet name="Schedules" sheetId="7" r:id="rId1"/>
    <sheet name="EA 1 " sheetId="10" r:id="rId2"/>
    <sheet name="EA 2" sheetId="9" r:id="rId3"/>
    <sheet name="EA 3" sheetId="3" r:id="rId4"/>
    <sheet name="Free Residue" sheetId="6" r:id="rId5"/>
    <sheet name="Dist Account" sheetId="2" r:id="rId6"/>
    <sheet name="Bank Recon" sheetId="11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9" l="1"/>
  <c r="C7" i="6"/>
  <c r="C21" i="6" l="1"/>
  <c r="C22" i="6"/>
  <c r="C14" i="6"/>
  <c r="C15" i="6"/>
  <c r="C17" i="6"/>
  <c r="C18" i="6"/>
  <c r="C19" i="6"/>
  <c r="C20" i="6"/>
  <c r="C6" i="6"/>
  <c r="C5" i="6"/>
  <c r="F25" i="7" l="1"/>
  <c r="C24" i="11" l="1"/>
  <c r="C23" i="11"/>
  <c r="D36" i="6"/>
  <c r="C25" i="11" s="1"/>
  <c r="D28" i="11" l="1"/>
  <c r="D24" i="6"/>
  <c r="C24" i="6" s="1"/>
  <c r="G11" i="2"/>
  <c r="K11" i="2" s="1"/>
  <c r="I11" i="2" s="1"/>
  <c r="I13" i="2"/>
  <c r="I12" i="2"/>
  <c r="I10" i="2"/>
  <c r="G9" i="2"/>
  <c r="K9" i="2" s="1"/>
  <c r="I9" i="2" s="1"/>
  <c r="I5" i="2"/>
  <c r="E41" i="6"/>
  <c r="B17" i="3"/>
  <c r="D8" i="2" s="1"/>
  <c r="E5" i="3"/>
  <c r="C5" i="3" s="1"/>
  <c r="B21" i="9"/>
  <c r="D4" i="2" s="1"/>
  <c r="D14" i="9"/>
  <c r="C14" i="9" s="1"/>
  <c r="E6" i="9"/>
  <c r="E27" i="9" l="1"/>
  <c r="C6" i="9"/>
  <c r="E26" i="7"/>
  <c r="E24" i="3"/>
  <c r="D26" i="6"/>
  <c r="F26" i="7"/>
  <c r="E25" i="7"/>
  <c r="D25" i="7"/>
  <c r="D26" i="7" l="1"/>
  <c r="D27" i="7" s="1"/>
  <c r="D28" i="7" s="1"/>
  <c r="D13" i="10"/>
  <c r="C13" i="10" s="1"/>
  <c r="E7" i="10"/>
  <c r="E27" i="7"/>
  <c r="E28" i="7" s="1"/>
  <c r="F27" i="7"/>
  <c r="E16" i="7"/>
  <c r="D18" i="7"/>
  <c r="D19" i="7" s="1"/>
  <c r="E19" i="7" s="1"/>
  <c r="E20" i="7" s="1"/>
  <c r="D16" i="2"/>
  <c r="B18" i="3"/>
  <c r="B22" i="9"/>
  <c r="C11" i="7"/>
  <c r="E9" i="7" l="1"/>
  <c r="D12" i="6" s="1"/>
  <c r="C12" i="6" s="1"/>
  <c r="D7" i="7"/>
  <c r="D8" i="7"/>
  <c r="D9" i="7"/>
  <c r="D6" i="7"/>
  <c r="C7" i="10"/>
  <c r="C26" i="7" s="1"/>
  <c r="C25" i="7"/>
  <c r="F28" i="7"/>
  <c r="F29" i="7"/>
  <c r="D11" i="6"/>
  <c r="D11" i="10"/>
  <c r="D12" i="9"/>
  <c r="D9" i="3"/>
  <c r="E8" i="7"/>
  <c r="D10" i="3" s="1"/>
  <c r="C10" i="3" s="1"/>
  <c r="E7" i="7"/>
  <c r="D13" i="9" s="1"/>
  <c r="C13" i="9" s="1"/>
  <c r="E25" i="10"/>
  <c r="E6" i="7"/>
  <c r="D12" i="10" s="1"/>
  <c r="C12" i="10" s="1"/>
  <c r="E29" i="7"/>
  <c r="D11" i="3" s="1"/>
  <c r="C11" i="3" s="1"/>
  <c r="D12" i="3" l="1"/>
  <c r="D13" i="3"/>
  <c r="D16" i="3" s="1"/>
  <c r="C27" i="7"/>
  <c r="F11" i="7"/>
  <c r="E11" i="7"/>
  <c r="D24" i="3" l="1"/>
  <c r="B21" i="3"/>
  <c r="E6" i="2"/>
  <c r="C28" i="7"/>
  <c r="C29" i="7" s="1"/>
  <c r="D15" i="10" s="1"/>
  <c r="D13" i="6"/>
  <c r="D29" i="7"/>
  <c r="D16" i="9" s="1"/>
  <c r="C16" i="9" s="1"/>
  <c r="D17" i="9" s="1"/>
  <c r="D27" i="6" l="1"/>
  <c r="D40" i="6" s="1"/>
  <c r="C13" i="6"/>
  <c r="D18" i="9"/>
  <c r="D20" i="9" s="1"/>
  <c r="C15" i="10"/>
  <c r="D16" i="10" s="1"/>
  <c r="C13" i="11" s="1"/>
  <c r="C14" i="11" s="1"/>
  <c r="K6" i="2"/>
  <c r="I6" i="2" s="1"/>
  <c r="D11" i="7"/>
  <c r="D27" i="9" l="1"/>
  <c r="C19" i="11"/>
  <c r="D17" i="10"/>
  <c r="D41" i="6"/>
  <c r="B24" i="9"/>
  <c r="E3" i="2"/>
  <c r="D20" i="10" l="1"/>
  <c r="D25" i="10" s="1"/>
  <c r="K3" i="2"/>
  <c r="I3" i="2" s="1"/>
  <c r="I18" i="2" s="1"/>
  <c r="C18" i="11" l="1"/>
  <c r="C27" i="11" s="1"/>
  <c r="E2" i="2"/>
  <c r="K2" i="2" s="1"/>
  <c r="E18" i="2"/>
  <c r="C28" i="11" l="1"/>
  <c r="M3" i="2"/>
  <c r="M14" i="2"/>
  <c r="M13" i="2"/>
  <c r="M11" i="2"/>
  <c r="M10" i="2"/>
  <c r="M6" i="2"/>
  <c r="M5" i="2"/>
  <c r="M12" i="2"/>
  <c r="M18" i="2" l="1"/>
</calcChain>
</file>

<file path=xl/sharedStrings.xml><?xml version="1.0" encoding="utf-8"?>
<sst xmlns="http://schemas.openxmlformats.org/spreadsheetml/2006/main" count="307" uniqueCount="126">
  <si>
    <t>"Schedule A"</t>
  </si>
  <si>
    <t>Accounts</t>
  </si>
  <si>
    <t>Gross Proceedings</t>
  </si>
  <si>
    <t>Master's Fees</t>
  </si>
  <si>
    <t>Bond of Security</t>
  </si>
  <si>
    <t>Auction Comm</t>
  </si>
  <si>
    <t>TOTAL = 71.5</t>
  </si>
  <si>
    <t>Encumbered Asset 1</t>
  </si>
  <si>
    <t>Encumbered Asset 2</t>
  </si>
  <si>
    <t>Ϟ</t>
  </si>
  <si>
    <t>Encumbered Asset 3</t>
  </si>
  <si>
    <t>Free Residue</t>
  </si>
  <si>
    <t>Totals</t>
  </si>
  <si>
    <t>"Schedule B"</t>
  </si>
  <si>
    <t>Master's fee calculations</t>
  </si>
  <si>
    <t>Gross value of estate</t>
  </si>
  <si>
    <t xml:space="preserve">Less </t>
  </si>
  <si>
    <t>Divide by ZAR 5,000.00 &amp; x R275</t>
  </si>
  <si>
    <t>Maximum Fee Allowed</t>
  </si>
  <si>
    <t>Liquidator's Remuneration</t>
  </si>
  <si>
    <t>E/A account 1</t>
  </si>
  <si>
    <t>E/A account 2</t>
  </si>
  <si>
    <t>E/A account 3</t>
  </si>
  <si>
    <r>
      <t xml:space="preserve">Fee @ </t>
    </r>
    <r>
      <rPr>
        <sz val="10"/>
        <color rgb="FFFF0000"/>
        <rFont val="Avenir Next Regular"/>
      </rPr>
      <t>##</t>
    </r>
    <r>
      <rPr>
        <sz val="10"/>
        <color theme="1"/>
        <rFont val="Avenir Next Regular"/>
      </rPr>
      <t>%</t>
    </r>
  </si>
  <si>
    <t>Less 15%</t>
  </si>
  <si>
    <t>Fee</t>
  </si>
  <si>
    <t>VAT thereon</t>
  </si>
  <si>
    <t>Total Fee</t>
  </si>
  <si>
    <t>Proceeds of Portion 8 of the farm “ValleyGrove”, Stellenbosch, Western Cape, Subject to a first mortgage bond in favour of Creditor No.1, Captial Bank</t>
  </si>
  <si>
    <t xml:space="preserve">Narration </t>
  </si>
  <si>
    <t>VAT</t>
  </si>
  <si>
    <t>PAYMENTS</t>
  </si>
  <si>
    <t xml:space="preserve">RECEIPTS </t>
  </si>
  <si>
    <t>Reciepts</t>
  </si>
  <si>
    <t>Proceeds of Portion 8 of the farm “ValleyGrove”, Stellenbosch, Western Cape, sold by public auction</t>
  </si>
  <si>
    <t>Payments</t>
  </si>
  <si>
    <t>Master's fee, pro rata portion as per 
Schedule A</t>
  </si>
  <si>
    <t>Bond of security premium paid to GuardianSure Bonds Ltd, pro rata per Schedule A</t>
  </si>
  <si>
    <t xml:space="preserve">Hastings Auctions, for commission on the sale of the property sold by public auction 10 November </t>
  </si>
  <si>
    <t>Western Province Municipality, arrear rates and taxes</t>
  </si>
  <si>
    <t>Liquidator's Fess @ 3%</t>
  </si>
  <si>
    <t>VAT payable to SARS</t>
  </si>
  <si>
    <t>Balance awarded as follows</t>
  </si>
  <si>
    <t>Creditor No.1, Capital Bank (Ltd), for monies lent and advanced for the purchase of Portion 8 of the farm “ValleyGrove”, Stellenbosch, Western Cape</t>
  </si>
  <si>
    <t>Calculation of interest is unnecessary as the creditor relied on its security and the balance available is insufficient to cover the capital claim</t>
  </si>
  <si>
    <t>Proceeds of Bottling plant and equipment, Subject to Special Notarial bond in favour of Creditor No. 2, Harvest Finance Ltd</t>
  </si>
  <si>
    <t>Proceeds of Bottling plant and equipment sold  ex situ by public auction</t>
  </si>
  <si>
    <t>Master's fee, pro rata portion as per Schedule A</t>
  </si>
  <si>
    <t xml:space="preserve">Hastings Auctions, for commission on the sale of the property sold by public auction 21 November </t>
  </si>
  <si>
    <t>GrapeFlow Bottling Solutions for repairs made to the bottling plant prior to it being sold by public auction</t>
  </si>
  <si>
    <t>Trustee's Fess @ 10%</t>
  </si>
  <si>
    <t>Balance awarded as follows:</t>
  </si>
  <si>
    <t>Creditor No.2, for moneys lent and advanced by way of a working capital loan, Captial:</t>
  </si>
  <si>
    <t>Interest @ 16.5% from 5/9/2022 to 17/3/2023 (193 days)</t>
  </si>
  <si>
    <t>Balance of claim is concurrent in terms of Singer v The Master</t>
  </si>
  <si>
    <r>
      <t xml:space="preserve">Proceeds of </t>
    </r>
    <r>
      <rPr>
        <sz val="11"/>
        <color theme="1"/>
        <rFont val="Calibri (Body)"/>
      </rPr>
      <t>2019 self-propelled Grape Harvester, registration number CA9090, Subject to an Installment Sale Transaction in favour of Creditor No.4, AgriTech Finance</t>
    </r>
  </si>
  <si>
    <t>Proceeds of 2019 self-propelled Grape Harvester, registration number CA9090, Sold by Private treaty</t>
  </si>
  <si>
    <t>Liquidator's Fess @ 10%</t>
  </si>
  <si>
    <t>Creditor No.4, in terms of instalment sale transaction for the purchase of the Grape Harvester, Captial:</t>
  </si>
  <si>
    <t>Interest on Capital Amount @ 18.75% from 5/9/2022 to 17/3/2023 (193 days)</t>
  </si>
  <si>
    <t>Reciepts:</t>
  </si>
  <si>
    <t>Substantial inventory of bottled wines manufactured by the winery on the farm and sold by public auction on 21 November 2022</t>
  </si>
  <si>
    <t>Proceeds of Miscellaneous movable assets and office equipment found at the farm sold by public auction on 21 November 2022</t>
  </si>
  <si>
    <t>Proceeds of quantity of Stella Valley Cabernet grapes harvested shortly after liquidation, sold privately to the local Co-op market</t>
  </si>
  <si>
    <t>Proceeds of book debts collected by attorneys Sithole &amp; Partners at the request of the liquidator</t>
  </si>
  <si>
    <t>Payments:</t>
  </si>
  <si>
    <t xml:space="preserve">Master's fee, pro rata portion
as per Schedule A </t>
  </si>
  <si>
    <t>Horizon Attorneys re: application for liquidation</t>
  </si>
  <si>
    <t>Postage and Petties allowed by Master</t>
  </si>
  <si>
    <t>Advertisement:</t>
  </si>
  <si>
    <t>Second Meeting</t>
  </si>
  <si>
    <t>Inspection of account</t>
  </si>
  <si>
    <t>Confirmation of account</t>
  </si>
  <si>
    <t>Destruction of Books and Records</t>
  </si>
  <si>
    <t>Sithole &amp; Partners professional fee for collecting book debts on behalf of the liquidator</t>
  </si>
  <si>
    <t>Trust Bank Ltd: Bank Charges (With R150.00 Provision)</t>
  </si>
  <si>
    <t>Wages paid to general labourers who assisted with harvesting the grapes sold after liquidation</t>
  </si>
  <si>
    <t>Total Payments</t>
  </si>
  <si>
    <t>Preferent Creditors:</t>
  </si>
  <si>
    <t>1. T Moeng, Cr 7, s98A</t>
  </si>
  <si>
    <t>Arrear Salary</t>
  </si>
  <si>
    <t>Leave Pay</t>
  </si>
  <si>
    <t>2. S Mthembu, Cr10, s98A</t>
  </si>
  <si>
    <t>3. SARS, Cr 5, s101</t>
  </si>
  <si>
    <t>PAYE</t>
  </si>
  <si>
    <r>
      <rPr>
        <b/>
        <u/>
        <sz val="11"/>
        <color theme="1"/>
        <rFont val="Avenir Next Regular"/>
      </rPr>
      <t>Concurrent Creditors</t>
    </r>
    <r>
      <rPr>
        <sz val="11"/>
        <color theme="1"/>
        <rFont val="Avenir Next Regular"/>
      </rPr>
      <t>:</t>
    </r>
  </si>
  <si>
    <t>Dividend of 10,1637 cents in the Rand</t>
  </si>
  <si>
    <t>No.</t>
  </si>
  <si>
    <t>Creditor's Name</t>
  </si>
  <si>
    <t>Total Claim</t>
  </si>
  <si>
    <t>Secured Claim</t>
  </si>
  <si>
    <t>Preferent Claim</t>
  </si>
  <si>
    <t>Concurrent 
Claim</t>
  </si>
  <si>
    <t>Secured/ 
Preferent Award</t>
  </si>
  <si>
    <t>Concurrent 
Award</t>
  </si>
  <si>
    <t>Capital Bank Ltd</t>
  </si>
  <si>
    <t>Harvest Finanance 
Ltd</t>
  </si>
  <si>
    <t>Vintech Supplies Ltd</t>
  </si>
  <si>
    <t>Agritech Finance</t>
  </si>
  <si>
    <t>SARS</t>
  </si>
  <si>
    <t>Winecraft Essentials Ltd</t>
  </si>
  <si>
    <t>Thabo Moeng</t>
  </si>
  <si>
    <t>David Smith</t>
  </si>
  <si>
    <t>Maria Ndlovu</t>
  </si>
  <si>
    <t>Sindisiwe Mthembu</t>
  </si>
  <si>
    <t>CONCURRENT DIVIDENTS AT</t>
  </si>
  <si>
    <t>IN THE RAND</t>
  </si>
  <si>
    <t>LIST - B -</t>
  </si>
  <si>
    <r>
      <rPr>
        <sz val="11"/>
        <color theme="1"/>
        <rFont val="Calibri (Body)"/>
      </rPr>
      <t>ValleyGrove Farms (Pty) Ltd</t>
    </r>
    <r>
      <rPr>
        <sz val="11"/>
        <color theme="1"/>
        <rFont val="Calibri"/>
        <family val="2"/>
        <scheme val="minor"/>
      </rPr>
      <t xml:space="preserve"> (IN LIQUIDATION)</t>
    </r>
  </si>
  <si>
    <t>Balance as per bank statement as at date of drafting
the account</t>
  </si>
  <si>
    <t>PAYMENTS STILL TO BE MADE:</t>
  </si>
  <si>
    <t xml:space="preserve">Bond premium (Renewal) </t>
  </si>
  <si>
    <t>Liquidator's fees</t>
  </si>
  <si>
    <t>Master's fees</t>
  </si>
  <si>
    <t>Bank Charges (Provision)</t>
  </si>
  <si>
    <t>Postage and Petties</t>
  </si>
  <si>
    <t>SARS, Vat payable per this account</t>
  </si>
  <si>
    <t>AWARDS TO CREDITORS STILL TO BE MADE:</t>
  </si>
  <si>
    <t>Encumbered asset account 1 (Cr 1)</t>
  </si>
  <si>
    <t>Encumbered asset account 2 (Cr 2)</t>
  </si>
  <si>
    <t>Encumbered asset account 3 (Cr 4)</t>
  </si>
  <si>
    <t>Free residue</t>
  </si>
  <si>
    <t>Cr 7 (preferent)</t>
  </si>
  <si>
    <t>Cr 10 (preferent)</t>
  </si>
  <si>
    <t>Cr 5 (preferent)</t>
  </si>
  <si>
    <t>Concurrent creditors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</si>
</sst>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R&quot;* #,##0.00_-;\-&quot;R&quot;* #,##0.00_-;_-&quot;R&quot;* &quot;-&quot;??_-;_-@_-"/>
    <numFmt numFmtId="165" formatCode="_-[$R-1C09]* #,##0.00_-;\-[$R-1C09]* #,##0.00_-;_-[$R-1C09]* &quot;-&quot;??_-;_-@_-"/>
    <numFmt numFmtId="166" formatCode="\(_-&quot;R&quot;* #,##0.00_-\);\-&quot;R&quot;* #,##0.00_-;_-&quot;R&quot;* &quot;-&quot;??_-;_-@_-"/>
    <numFmt numFmtId="167" formatCode="&quot;R&quot;#,##0.00"/>
    <numFmt numFmtId="168" formatCode="\(&quot;R&quot;#,##0.00\)"/>
    <numFmt numFmtId="169" formatCode="\(&quot;R&quot;#,##0.00\)_);\(&quot;R&quot;#,##0.00\)"/>
    <numFmt numFmtId="170" formatCode="&quot;R&quot;\ #,##0.00"/>
    <numFmt numFmtId="171" formatCode="\(&quot;R&quot;\ #,##0.00\)"/>
    <numFmt numFmtId="172" formatCode="\(&quot;R&quot;\ #,##0.00\)_);\(&quot;R&quot;#,##0.00\)"/>
    <numFmt numFmtId="173" formatCode="0.00000"/>
    <numFmt numFmtId="174" formatCode="&quot;R&quot;\ #,##0.000"/>
    <numFmt numFmtId="175" formatCode="&quot;R&quot;#,##0.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venir Next Regular"/>
    </font>
    <font>
      <b/>
      <u/>
      <sz val="10"/>
      <color theme="1"/>
      <name val="Avenir Next Regular"/>
    </font>
    <font>
      <u/>
      <sz val="10"/>
      <color theme="1"/>
      <name val="Avenir Next Regular"/>
    </font>
    <font>
      <b/>
      <sz val="10"/>
      <color theme="1"/>
      <name val="Avenir Next Regular"/>
    </font>
    <font>
      <sz val="11"/>
      <color theme="1"/>
      <name val="Avenir Next Regular"/>
    </font>
    <font>
      <b/>
      <u/>
      <sz val="11"/>
      <color theme="1"/>
      <name val="Avenir Next Regular"/>
    </font>
    <font>
      <u/>
      <sz val="11"/>
      <color theme="1"/>
      <name val="Avenir Next Regular"/>
    </font>
    <font>
      <b/>
      <sz val="11"/>
      <color theme="1"/>
      <name val="Avenir Next Regular"/>
    </font>
    <font>
      <b/>
      <u val="singleAccounting"/>
      <sz val="11"/>
      <color theme="1"/>
      <name val="Avenir Next Regular"/>
    </font>
    <font>
      <sz val="10"/>
      <color rgb="FFFF0000"/>
      <name val="Avenir Next Regular"/>
    </font>
    <font>
      <sz val="10"/>
      <name val="Avenir Next Regular"/>
    </font>
    <font>
      <sz val="11"/>
      <color theme="1"/>
      <name val="Calibri (Body)"/>
    </font>
    <font>
      <i/>
      <sz val="11"/>
      <color theme="1"/>
      <name val="Avenir Next Regula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rgb="FFFF0000"/>
      <name val="Avenir Next Regula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85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2" fillId="0" borderId="0" xfId="1" applyFont="1" applyBorder="1" applyAlignment="1"/>
    <xf numFmtId="0" fontId="3" fillId="0" borderId="1" xfId="0" applyFont="1" applyBorder="1" applyAlignment="1">
      <alignment horizontal="center"/>
    </xf>
    <xf numFmtId="165" fontId="2" fillId="0" borderId="7" xfId="0" applyNumberFormat="1" applyFont="1" applyBorder="1"/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 vertical="top"/>
    </xf>
    <xf numFmtId="164" fontId="4" fillId="0" borderId="0" xfId="0" applyNumberFormat="1" applyFont="1"/>
    <xf numFmtId="0" fontId="3" fillId="0" borderId="0" xfId="0" applyFont="1" applyAlignment="1">
      <alignment horizontal="left" vertical="top"/>
    </xf>
    <xf numFmtId="0" fontId="6" fillId="0" borderId="0" xfId="0" applyFont="1"/>
    <xf numFmtId="164" fontId="0" fillId="0" borderId="0" xfId="1" applyFont="1" applyBorder="1"/>
    <xf numFmtId="164" fontId="7" fillId="0" borderId="0" xfId="0" applyNumberFormat="1" applyFont="1"/>
    <xf numFmtId="0" fontId="5" fillId="0" borderId="0" xfId="0" applyFont="1" applyAlignment="1">
      <alignment horizontal="left" vertical="top" wrapText="1"/>
    </xf>
    <xf numFmtId="0" fontId="9" fillId="0" borderId="5" xfId="0" applyFont="1" applyBorder="1"/>
    <xf numFmtId="0" fontId="11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13" fillId="0" borderId="10" xfId="0" applyFont="1" applyBorder="1"/>
    <xf numFmtId="0" fontId="14" fillId="0" borderId="10" xfId="0" applyFont="1" applyBorder="1" applyAlignment="1">
      <alignment horizontal="center" vertical="top"/>
    </xf>
    <xf numFmtId="0" fontId="13" fillId="0" borderId="5" xfId="0" applyFon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 vertical="top"/>
    </xf>
    <xf numFmtId="164" fontId="13" fillId="0" borderId="0" xfId="1" applyFont="1" applyAlignment="1">
      <alignment vertical="top"/>
    </xf>
    <xf numFmtId="164" fontId="13" fillId="0" borderId="0" xfId="1" applyFont="1" applyBorder="1" applyAlignment="1"/>
    <xf numFmtId="165" fontId="13" fillId="0" borderId="0" xfId="0" applyNumberFormat="1" applyFont="1"/>
    <xf numFmtId="0" fontId="16" fillId="0" borderId="0" xfId="0" applyFont="1" applyAlignment="1">
      <alignment vertical="top"/>
    </xf>
    <xf numFmtId="0" fontId="16" fillId="0" borderId="5" xfId="0" applyFont="1" applyBorder="1" applyAlignment="1">
      <alignment vertical="top"/>
    </xf>
    <xf numFmtId="0" fontId="9" fillId="0" borderId="7" xfId="0" applyFont="1" applyBorder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left"/>
    </xf>
    <xf numFmtId="165" fontId="17" fillId="0" borderId="5" xfId="1" applyNumberFormat="1" applyFont="1" applyBorder="1" applyAlignment="1">
      <alignment horizontal="left" vertical="top"/>
    </xf>
    <xf numFmtId="165" fontId="13" fillId="0" borderId="12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vertical="top"/>
    </xf>
    <xf numFmtId="165" fontId="13" fillId="0" borderId="13" xfId="0" applyNumberFormat="1" applyFont="1" applyBorder="1"/>
    <xf numFmtId="0" fontId="13" fillId="0" borderId="7" xfId="0" applyFont="1" applyBorder="1"/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1" fontId="13" fillId="0" borderId="13" xfId="0" applyNumberFormat="1" applyFont="1" applyBorder="1" applyAlignment="1">
      <alignment horizontal="center" vertical="center"/>
    </xf>
    <xf numFmtId="0" fontId="9" fillId="2" borderId="0" xfId="2" applyFont="1" applyBorder="1"/>
    <xf numFmtId="0" fontId="10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0" borderId="3" xfId="0" applyFont="1" applyBorder="1" applyAlignment="1">
      <alignment horizontal="left" vertical="top" wrapText="1"/>
    </xf>
    <xf numFmtId="0" fontId="9" fillId="0" borderId="3" xfId="0" applyFont="1" applyBorder="1"/>
    <xf numFmtId="0" fontId="12" fillId="0" borderId="0" xfId="0" applyFont="1" applyAlignment="1">
      <alignment vertical="top" wrapText="1"/>
    </xf>
    <xf numFmtId="0" fontId="10" fillId="0" borderId="5" xfId="0" applyFont="1" applyBorder="1" applyAlignment="1">
      <alignment horizontal="left" vertical="top"/>
    </xf>
    <xf numFmtId="0" fontId="10" fillId="0" borderId="2" xfId="0" applyFont="1" applyBorder="1"/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164" fontId="9" fillId="0" borderId="0" xfId="1" applyFont="1" applyAlignment="1">
      <alignment horizontal="center" vertical="center"/>
    </xf>
    <xf numFmtId="164" fontId="9" fillId="0" borderId="7" xfId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9" fillId="0" borderId="6" xfId="0" applyFont="1" applyBorder="1" applyAlignment="1">
      <alignment horizontal="left"/>
    </xf>
    <xf numFmtId="164" fontId="13" fillId="0" borderId="0" xfId="1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164" fontId="9" fillId="0" borderId="6" xfId="1" applyFont="1" applyBorder="1" applyAlignment="1">
      <alignment vertical="top" wrapText="1"/>
    </xf>
    <xf numFmtId="0" fontId="9" fillId="0" borderId="6" xfId="0" applyFont="1" applyBorder="1" applyAlignment="1">
      <alignment horizontal="left" wrapText="1"/>
    </xf>
    <xf numFmtId="164" fontId="12" fillId="0" borderId="7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164" fontId="9" fillId="0" borderId="4" xfId="1" applyFont="1" applyBorder="1" applyAlignment="1">
      <alignment horizontal="center" vertical="center"/>
    </xf>
    <xf numFmtId="0" fontId="12" fillId="0" borderId="2" xfId="0" applyFont="1" applyBorder="1"/>
    <xf numFmtId="164" fontId="12" fillId="0" borderId="5" xfId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13" fillId="0" borderId="3" xfId="0" applyFont="1" applyBorder="1"/>
    <xf numFmtId="0" fontId="14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165" fontId="9" fillId="0" borderId="7" xfId="0" applyNumberFormat="1" applyFont="1" applyBorder="1"/>
    <xf numFmtId="0" fontId="9" fillId="0" borderId="6" xfId="0" applyFont="1" applyBorder="1" applyAlignment="1">
      <alignment vertical="top" wrapText="1"/>
    </xf>
    <xf numFmtId="165" fontId="13" fillId="0" borderId="7" xfId="0" applyNumberFormat="1" applyFont="1" applyBorder="1"/>
    <xf numFmtId="0" fontId="12" fillId="0" borderId="0" xfId="0" applyFont="1"/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3" fillId="0" borderId="13" xfId="0" applyFont="1" applyBorder="1"/>
    <xf numFmtId="0" fontId="13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164" fontId="16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6" fillId="0" borderId="2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/>
    <xf numFmtId="1" fontId="13" fillId="0" borderId="13" xfId="0" applyNumberFormat="1" applyFont="1" applyBorder="1" applyAlignment="1">
      <alignment horizontal="right" vertical="top"/>
    </xf>
    <xf numFmtId="165" fontId="16" fillId="0" borderId="5" xfId="1" applyNumberFormat="1" applyFont="1" applyBorder="1" applyAlignment="1">
      <alignment horizontal="left" vertical="top"/>
    </xf>
    <xf numFmtId="167" fontId="9" fillId="0" borderId="13" xfId="1" applyNumberFormat="1" applyFont="1" applyBorder="1" applyAlignment="1">
      <alignment horizontal="center" vertical="center"/>
    </xf>
    <xf numFmtId="167" fontId="9" fillId="0" borderId="0" xfId="1" applyNumberFormat="1" applyFont="1" applyAlignment="1">
      <alignment horizontal="center" vertical="center"/>
    </xf>
    <xf numFmtId="167" fontId="9" fillId="0" borderId="7" xfId="1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12" fillId="0" borderId="13" xfId="1" applyNumberFormat="1" applyFont="1" applyBorder="1" applyAlignment="1">
      <alignment horizontal="center" vertical="center"/>
    </xf>
    <xf numFmtId="167" fontId="12" fillId="0" borderId="7" xfId="1" applyNumberFormat="1" applyFont="1" applyBorder="1" applyAlignment="1">
      <alignment horizontal="center" vertical="center"/>
    </xf>
    <xf numFmtId="167" fontId="9" fillId="0" borderId="4" xfId="1" applyNumberFormat="1" applyFont="1" applyBorder="1" applyAlignment="1">
      <alignment horizontal="center" vertical="center"/>
    </xf>
    <xf numFmtId="167" fontId="12" fillId="0" borderId="5" xfId="1" applyNumberFormat="1" applyFont="1" applyBorder="1" applyAlignment="1">
      <alignment horizontal="center" vertical="center"/>
    </xf>
    <xf numFmtId="167" fontId="12" fillId="0" borderId="1" xfId="1" applyNumberFormat="1" applyFont="1" applyBorder="1" applyAlignment="1">
      <alignment horizontal="center" vertical="center"/>
    </xf>
    <xf numFmtId="167" fontId="9" fillId="0" borderId="6" xfId="1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 vertical="center"/>
    </xf>
    <xf numFmtId="0" fontId="9" fillId="2" borderId="5" xfId="2" applyFont="1" applyBorder="1"/>
    <xf numFmtId="0" fontId="9" fillId="2" borderId="10" xfId="2" applyFont="1" applyBorder="1" applyAlignment="1">
      <alignment horizontal="right"/>
    </xf>
    <xf numFmtId="0" fontId="9" fillId="2" borderId="10" xfId="2" applyFont="1" applyBorder="1" applyAlignment="1">
      <alignment horizontal="center"/>
    </xf>
    <xf numFmtId="167" fontId="13" fillId="0" borderId="13" xfId="0" applyNumberFormat="1" applyFont="1" applyBorder="1" applyAlignment="1">
      <alignment horizontal="left" vertical="center"/>
    </xf>
    <xf numFmtId="170" fontId="13" fillId="0" borderId="0" xfId="0" applyNumberFormat="1" applyFont="1" applyAlignment="1">
      <alignment horizontal="left" vertical="center"/>
    </xf>
    <xf numFmtId="170" fontId="13" fillId="0" borderId="13" xfId="0" applyNumberFormat="1" applyFont="1" applyBorder="1" applyAlignment="1">
      <alignment horizontal="left" vertical="center"/>
    </xf>
    <xf numFmtId="171" fontId="13" fillId="0" borderId="13" xfId="0" applyNumberFormat="1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170" fontId="9" fillId="0" borderId="4" xfId="1" applyNumberFormat="1" applyFont="1" applyBorder="1" applyAlignment="1">
      <alignment horizontal="left" vertical="center"/>
    </xf>
    <xf numFmtId="170" fontId="9" fillId="0" borderId="8" xfId="0" applyNumberFormat="1" applyFont="1" applyBorder="1" applyAlignment="1">
      <alignment horizontal="left" vertical="center"/>
    </xf>
    <xf numFmtId="170" fontId="9" fillId="0" borderId="7" xfId="1" applyNumberFormat="1" applyFont="1" applyBorder="1" applyAlignment="1">
      <alignment horizontal="left" vertical="center"/>
    </xf>
    <xf numFmtId="170" fontId="9" fillId="0" borderId="7" xfId="0" applyNumberFormat="1" applyFont="1" applyBorder="1" applyAlignment="1">
      <alignment horizontal="left" vertical="center"/>
    </xf>
    <xf numFmtId="170" fontId="9" fillId="0" borderId="6" xfId="0" applyNumberFormat="1" applyFont="1" applyBorder="1" applyAlignment="1">
      <alignment horizontal="left" vertical="center"/>
    </xf>
    <xf numFmtId="170" fontId="9" fillId="0" borderId="8" xfId="1" applyNumberFormat="1" applyFont="1" applyBorder="1" applyAlignment="1">
      <alignment horizontal="left" vertical="center"/>
    </xf>
    <xf numFmtId="170" fontId="9" fillId="0" borderId="12" xfId="1" applyNumberFormat="1" applyFont="1" applyBorder="1" applyAlignment="1">
      <alignment horizontal="left" vertical="center"/>
    </xf>
    <xf numFmtId="170" fontId="9" fillId="0" borderId="14" xfId="1" applyNumberFormat="1" applyFont="1" applyBorder="1" applyAlignment="1">
      <alignment horizontal="left" vertical="center"/>
    </xf>
    <xf numFmtId="167" fontId="9" fillId="0" borderId="4" xfId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top"/>
    </xf>
    <xf numFmtId="170" fontId="2" fillId="0" borderId="13" xfId="0" applyNumberFormat="1" applyFont="1" applyBorder="1" applyAlignment="1">
      <alignment horizontal="left" vertical="center"/>
    </xf>
    <xf numFmtId="170" fontId="4" fillId="0" borderId="2" xfId="0" applyNumberFormat="1" applyFont="1" applyBorder="1" applyAlignment="1">
      <alignment horizontal="right"/>
    </xf>
    <xf numFmtId="170" fontId="2" fillId="0" borderId="13" xfId="1" applyNumberFormat="1" applyFont="1" applyBorder="1" applyAlignment="1">
      <alignment horizontal="left" vertical="center"/>
    </xf>
    <xf numFmtId="170" fontId="2" fillId="0" borderId="0" xfId="0" applyNumberFormat="1" applyFont="1" applyAlignment="1">
      <alignment horizontal="left" vertical="center"/>
    </xf>
    <xf numFmtId="170" fontId="4" fillId="0" borderId="13" xfId="0" applyNumberFormat="1" applyFont="1" applyBorder="1" applyAlignment="1">
      <alignment horizontal="left" vertical="center"/>
    </xf>
    <xf numFmtId="170" fontId="2" fillId="0" borderId="13" xfId="0" applyNumberFormat="1" applyFont="1" applyBorder="1" applyAlignment="1">
      <alignment horizontal="left" vertical="center" indent="1"/>
    </xf>
    <xf numFmtId="170" fontId="13" fillId="0" borderId="16" xfId="0" applyNumberFormat="1" applyFont="1" applyBorder="1" applyAlignment="1">
      <alignment horizontal="left" vertical="center"/>
    </xf>
    <xf numFmtId="170" fontId="16" fillId="0" borderId="14" xfId="0" applyNumberFormat="1" applyFont="1" applyBorder="1" applyAlignment="1">
      <alignment horizontal="left" vertical="center"/>
    </xf>
    <xf numFmtId="170" fontId="0" fillId="0" borderId="0" xfId="0" applyNumberFormat="1"/>
    <xf numFmtId="0" fontId="13" fillId="0" borderId="0" xfId="0" applyFont="1" applyAlignment="1">
      <alignment horizontal="left" vertical="center"/>
    </xf>
    <xf numFmtId="170" fontId="16" fillId="0" borderId="12" xfId="0" applyNumberFormat="1" applyFont="1" applyBorder="1" applyAlignment="1">
      <alignment horizontal="left" vertical="center"/>
    </xf>
    <xf numFmtId="170" fontId="9" fillId="0" borderId="13" xfId="1" applyNumberFormat="1" applyFont="1" applyBorder="1" applyAlignment="1">
      <alignment horizontal="left" vertical="center"/>
    </xf>
    <xf numFmtId="170" fontId="9" fillId="0" borderId="13" xfId="0" applyNumberFormat="1" applyFont="1" applyBorder="1" applyAlignment="1">
      <alignment horizontal="left" vertical="center"/>
    </xf>
    <xf numFmtId="170" fontId="12" fillId="0" borderId="14" xfId="0" applyNumberFormat="1" applyFont="1" applyBorder="1" applyAlignment="1">
      <alignment horizontal="left" vertical="center"/>
    </xf>
    <xf numFmtId="170" fontId="12" fillId="0" borderId="12" xfId="0" applyNumberFormat="1" applyFont="1" applyBorder="1" applyAlignment="1">
      <alignment horizontal="left" vertical="center"/>
    </xf>
    <xf numFmtId="169" fontId="9" fillId="0" borderId="13" xfId="1" applyNumberFormat="1" applyFont="1" applyBorder="1" applyAlignment="1">
      <alignment horizontal="left" vertical="center"/>
    </xf>
    <xf numFmtId="167" fontId="9" fillId="0" borderId="0" xfId="1" applyNumberFormat="1" applyFont="1" applyAlignment="1">
      <alignment horizontal="left" vertical="center"/>
    </xf>
    <xf numFmtId="167" fontId="9" fillId="0" borderId="7" xfId="1" applyNumberFormat="1" applyFont="1" applyBorder="1" applyAlignment="1">
      <alignment horizontal="left" vertical="center"/>
    </xf>
    <xf numFmtId="170" fontId="19" fillId="0" borderId="13" xfId="1" applyNumberFormat="1" applyFont="1" applyBorder="1" applyAlignment="1">
      <alignment horizontal="left" vertical="center"/>
    </xf>
    <xf numFmtId="170" fontId="9" fillId="0" borderId="16" xfId="1" applyNumberFormat="1" applyFont="1" applyBorder="1" applyAlignment="1">
      <alignment horizontal="left" vertical="center"/>
    </xf>
    <xf numFmtId="170" fontId="12" fillId="0" borderId="0" xfId="1" applyNumberFormat="1" applyFont="1" applyAlignment="1">
      <alignment horizontal="left" vertical="center"/>
    </xf>
    <xf numFmtId="170" fontId="9" fillId="0" borderId="6" xfId="1" applyNumberFormat="1" applyFont="1" applyBorder="1" applyAlignment="1">
      <alignment horizontal="left"/>
    </xf>
    <xf numFmtId="170" fontId="9" fillId="0" borderId="17" xfId="1" applyNumberFormat="1" applyFont="1" applyBorder="1" applyAlignment="1">
      <alignment horizontal="left" vertical="center" wrapText="1"/>
    </xf>
    <xf numFmtId="170" fontId="12" fillId="0" borderId="6" xfId="1" applyNumberFormat="1" applyFont="1" applyBorder="1" applyAlignment="1">
      <alignment horizontal="center" vertical="center" wrapText="1"/>
    </xf>
    <xf numFmtId="170" fontId="9" fillId="0" borderId="6" xfId="0" applyNumberFormat="1" applyFont="1" applyBorder="1" applyAlignment="1">
      <alignment horizontal="left" wrapText="1"/>
    </xf>
    <xf numFmtId="167" fontId="9" fillId="0" borderId="7" xfId="0" applyNumberFormat="1" applyFont="1" applyBorder="1" applyAlignment="1">
      <alignment horizontal="left" vertical="center"/>
    </xf>
    <xf numFmtId="170" fontId="12" fillId="0" borderId="1" xfId="1" applyNumberFormat="1" applyFont="1" applyBorder="1" applyAlignment="1">
      <alignment horizontal="left" vertical="center"/>
    </xf>
    <xf numFmtId="170" fontId="9" fillId="0" borderId="0" xfId="0" applyNumberFormat="1" applyFont="1" applyAlignment="1">
      <alignment horizontal="left" vertical="center"/>
    </xf>
    <xf numFmtId="172" fontId="9" fillId="0" borderId="13" xfId="1" applyNumberFormat="1" applyFont="1" applyBorder="1" applyAlignment="1">
      <alignment horizontal="left" vertical="center"/>
    </xf>
    <xf numFmtId="170" fontId="9" fillId="0" borderId="3" xfId="0" applyNumberFormat="1" applyFont="1" applyBorder="1" applyAlignment="1">
      <alignment horizontal="left" vertical="center"/>
    </xf>
    <xf numFmtId="170" fontId="9" fillId="0" borderId="15" xfId="0" applyNumberFormat="1" applyFont="1" applyBorder="1" applyAlignment="1">
      <alignment horizontal="left" vertical="center"/>
    </xf>
    <xf numFmtId="170" fontId="12" fillId="0" borderId="0" xfId="0" applyNumberFormat="1" applyFont="1" applyAlignment="1">
      <alignment horizontal="left" vertical="center"/>
    </xf>
    <xf numFmtId="170" fontId="9" fillId="0" borderId="15" xfId="1" applyNumberFormat="1" applyFont="1" applyBorder="1" applyAlignment="1">
      <alignment horizontal="left" vertical="center"/>
    </xf>
    <xf numFmtId="170" fontId="16" fillId="0" borderId="1" xfId="0" applyNumberFormat="1" applyFont="1" applyBorder="1" applyAlignment="1">
      <alignment horizontal="left" vertical="center"/>
    </xf>
    <xf numFmtId="170" fontId="13" fillId="0" borderId="14" xfId="0" applyNumberFormat="1" applyFont="1" applyBorder="1" applyAlignment="1">
      <alignment horizontal="left" vertical="center"/>
    </xf>
    <xf numFmtId="170" fontId="16" fillId="0" borderId="13" xfId="0" applyNumberFormat="1" applyFont="1" applyBorder="1" applyAlignment="1">
      <alignment horizontal="left" vertical="center"/>
    </xf>
    <xf numFmtId="170" fontId="13" fillId="0" borderId="7" xfId="1" applyNumberFormat="1" applyFont="1" applyBorder="1" applyAlignment="1">
      <alignment horizontal="left"/>
    </xf>
    <xf numFmtId="170" fontId="13" fillId="0" borderId="7" xfId="0" applyNumberFormat="1" applyFont="1" applyBorder="1" applyAlignment="1">
      <alignment horizontal="left"/>
    </xf>
    <xf numFmtId="170" fontId="13" fillId="0" borderId="7" xfId="1" applyNumberFormat="1" applyFont="1" applyBorder="1" applyAlignment="1">
      <alignment horizontal="left" vertical="center"/>
    </xf>
    <xf numFmtId="170" fontId="13" fillId="0" borderId="0" xfId="1" applyNumberFormat="1" applyFont="1" applyAlignment="1">
      <alignment horizontal="left" vertical="center"/>
    </xf>
    <xf numFmtId="170" fontId="13" fillId="0" borderId="0" xfId="1" applyNumberFormat="1" applyFont="1" applyBorder="1" applyAlignment="1">
      <alignment horizontal="left" vertical="center"/>
    </xf>
    <xf numFmtId="170" fontId="16" fillId="0" borderId="5" xfId="1" applyNumberFormat="1" applyFont="1" applyBorder="1" applyAlignment="1">
      <alignment horizontal="left" vertical="center"/>
    </xf>
    <xf numFmtId="170" fontId="16" fillId="0" borderId="5" xfId="1" applyNumberFormat="1" applyFont="1" applyBorder="1" applyAlignment="1">
      <alignment horizontal="left"/>
    </xf>
    <xf numFmtId="170" fontId="16" fillId="0" borderId="5" xfId="0" applyNumberFormat="1" applyFont="1" applyBorder="1" applyAlignment="1">
      <alignment horizontal="left" vertical="center"/>
    </xf>
    <xf numFmtId="168" fontId="9" fillId="0" borderId="13" xfId="1" applyNumberFormat="1" applyFont="1" applyBorder="1" applyAlignment="1">
      <alignment horizontal="left" vertical="center"/>
    </xf>
    <xf numFmtId="167" fontId="9" fillId="0" borderId="0" xfId="1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70" fontId="12" fillId="0" borderId="6" xfId="1" applyNumberFormat="1" applyFont="1" applyBorder="1" applyAlignment="1">
      <alignment horizontal="left" vertical="center" wrapText="1"/>
    </xf>
    <xf numFmtId="170" fontId="12" fillId="0" borderId="7" xfId="1" applyNumberFormat="1" applyFont="1" applyBorder="1" applyAlignment="1">
      <alignment horizontal="left" vertical="center"/>
    </xf>
    <xf numFmtId="170" fontId="9" fillId="0" borderId="16" xfId="0" applyNumberFormat="1" applyFont="1" applyBorder="1" applyAlignment="1">
      <alignment horizontal="left" vertical="center"/>
    </xf>
    <xf numFmtId="170" fontId="13" fillId="0" borderId="0" xfId="1" applyNumberFormat="1" applyFont="1" applyBorder="1" applyAlignment="1">
      <alignment horizontal="left"/>
    </xf>
    <xf numFmtId="170" fontId="19" fillId="0" borderId="7" xfId="1" applyNumberFormat="1" applyFont="1" applyBorder="1" applyAlignment="1">
      <alignment horizontal="left" vertical="center"/>
    </xf>
    <xf numFmtId="170" fontId="19" fillId="0" borderId="16" xfId="1" applyNumberFormat="1" applyFont="1" applyBorder="1" applyAlignment="1">
      <alignment horizontal="left" vertical="center"/>
    </xf>
    <xf numFmtId="170" fontId="12" fillId="0" borderId="13" xfId="1" applyNumberFormat="1" applyFont="1" applyBorder="1" applyAlignment="1">
      <alignment horizontal="left" vertical="center"/>
    </xf>
    <xf numFmtId="170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170" fontId="12" fillId="0" borderId="8" xfId="0" applyNumberFormat="1" applyFont="1" applyBorder="1" applyAlignment="1">
      <alignment horizontal="left" vertical="center"/>
    </xf>
    <xf numFmtId="170" fontId="0" fillId="0" borderId="0" xfId="0" applyNumberFormat="1" applyAlignment="1">
      <alignment horizontal="left" vertical="center"/>
    </xf>
    <xf numFmtId="170" fontId="0" fillId="0" borderId="0" xfId="0" applyNumberFormat="1" applyAlignment="1">
      <alignment horizontal="left"/>
    </xf>
    <xf numFmtId="170" fontId="6" fillId="0" borderId="0" xfId="0" applyNumberFormat="1" applyFont="1" applyAlignment="1">
      <alignment horizontal="left" vertical="center"/>
    </xf>
    <xf numFmtId="175" fontId="0" fillId="0" borderId="0" xfId="0" applyNumberFormat="1"/>
    <xf numFmtId="173" fontId="12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left" vertical="center"/>
    </xf>
    <xf numFmtId="167" fontId="24" fillId="0" borderId="0" xfId="0" applyNumberFormat="1" applyFont="1" applyAlignment="1">
      <alignment horizontal="left" vertical="center"/>
    </xf>
    <xf numFmtId="167" fontId="26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0" fontId="23" fillId="0" borderId="0" xfId="0" applyFont="1"/>
    <xf numFmtId="170" fontId="25" fillId="0" borderId="0" xfId="0" applyNumberFormat="1" applyFont="1" applyAlignment="1">
      <alignment horizontal="left" vertical="center"/>
    </xf>
    <xf numFmtId="170" fontId="24" fillId="0" borderId="0" xfId="0" applyNumberFormat="1" applyFont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27" fillId="0" borderId="0" xfId="0" applyNumberFormat="1" applyFont="1"/>
    <xf numFmtId="49" fontId="28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9" fillId="0" borderId="9" xfId="1" applyFont="1" applyBorder="1" applyAlignment="1">
      <alignment horizontal="center" vertical="center"/>
    </xf>
    <xf numFmtId="164" fontId="9" fillId="0" borderId="11" xfId="1" applyFont="1" applyBorder="1" applyAlignment="1">
      <alignment horizontal="center" vertical="center"/>
    </xf>
    <xf numFmtId="167" fontId="9" fillId="0" borderId="9" xfId="1" applyNumberFormat="1" applyFont="1" applyBorder="1" applyAlignment="1">
      <alignment horizontal="center" vertical="center"/>
    </xf>
    <xf numFmtId="167" fontId="9" fillId="0" borderId="11" xfId="1" applyNumberFormat="1" applyFont="1" applyBorder="1" applyAlignment="1">
      <alignment horizontal="center" vertical="center"/>
    </xf>
    <xf numFmtId="170" fontId="9" fillId="0" borderId="9" xfId="1" applyNumberFormat="1" applyFont="1" applyBorder="1" applyAlignment="1">
      <alignment horizontal="left" vertical="center"/>
    </xf>
    <xf numFmtId="170" fontId="9" fillId="0" borderId="11" xfId="1" applyNumberFormat="1" applyFont="1" applyBorder="1" applyAlignment="1">
      <alignment horizontal="left" vertical="center"/>
    </xf>
    <xf numFmtId="170" fontId="9" fillId="0" borderId="9" xfId="0" applyNumberFormat="1" applyFont="1" applyBorder="1" applyAlignment="1">
      <alignment horizontal="left" vertical="center"/>
    </xf>
    <xf numFmtId="170" fontId="9" fillId="0" borderId="11" xfId="0" applyNumberFormat="1" applyFont="1" applyBorder="1" applyAlignment="1">
      <alignment horizontal="left" vertical="center"/>
    </xf>
    <xf numFmtId="170" fontId="9" fillId="0" borderId="8" xfId="0" applyNumberFormat="1" applyFont="1" applyBorder="1" applyAlignment="1">
      <alignment horizontal="left" vertical="center"/>
    </xf>
    <xf numFmtId="170" fontId="9" fillId="0" borderId="1" xfId="0" applyNumberFormat="1" applyFont="1" applyBorder="1" applyAlignment="1">
      <alignment horizontal="left" vertical="center"/>
    </xf>
    <xf numFmtId="170" fontId="9" fillId="0" borderId="2" xfId="0" applyNumberFormat="1" applyFont="1" applyBorder="1" applyAlignment="1">
      <alignment horizontal="left" vertical="center"/>
    </xf>
    <xf numFmtId="170" fontId="9" fillId="0" borderId="7" xfId="0" applyNumberFormat="1" applyFont="1" applyBorder="1" applyAlignment="1">
      <alignment horizontal="left" vertical="center"/>
    </xf>
    <xf numFmtId="170" fontId="9" fillId="0" borderId="6" xfId="0" applyNumberFormat="1" applyFont="1" applyBorder="1" applyAlignment="1">
      <alignment horizontal="left" vertical="center"/>
    </xf>
    <xf numFmtId="170" fontId="9" fillId="0" borderId="4" xfId="0" applyNumberFormat="1" applyFont="1" applyBorder="1" applyAlignment="1">
      <alignment horizontal="left" vertical="center"/>
    </xf>
    <xf numFmtId="170" fontId="9" fillId="0" borderId="18" xfId="0" applyNumberFormat="1" applyFont="1" applyBorder="1" applyAlignment="1">
      <alignment horizontal="left" vertical="center"/>
    </xf>
    <xf numFmtId="170" fontId="9" fillId="0" borderId="1" xfId="1" applyNumberFormat="1" applyFont="1" applyBorder="1" applyAlignment="1">
      <alignment horizontal="left" vertical="center"/>
    </xf>
    <xf numFmtId="170" fontId="9" fillId="0" borderId="2" xfId="1" applyNumberFormat="1" applyFont="1" applyBorder="1" applyAlignment="1">
      <alignment horizontal="left" vertical="center"/>
    </xf>
    <xf numFmtId="170" fontId="9" fillId="0" borderId="4" xfId="1" applyNumberFormat="1" applyFont="1" applyBorder="1" applyAlignment="1">
      <alignment horizontal="left" vertical="center"/>
    </xf>
    <xf numFmtId="170" fontId="9" fillId="0" borderId="18" xfId="1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70" fontId="9" fillId="0" borderId="12" xfId="1" applyNumberFormat="1" applyFont="1" applyBorder="1" applyAlignment="1">
      <alignment horizontal="left" vertical="center"/>
    </xf>
    <xf numFmtId="170" fontId="9" fillId="0" borderId="14" xfId="1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0" fontId="9" fillId="0" borderId="8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0" fontId="9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170" fontId="12" fillId="0" borderId="8" xfId="0" applyNumberFormat="1" applyFont="1" applyBorder="1" applyAlignment="1">
      <alignment horizontal="left"/>
    </xf>
    <xf numFmtId="170" fontId="9" fillId="0" borderId="8" xfId="0" applyNumberFormat="1" applyFont="1" applyBorder="1" applyAlignment="1">
      <alignment horizontal="left"/>
    </xf>
    <xf numFmtId="170" fontId="12" fillId="0" borderId="8" xfId="1" applyNumberFormat="1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right"/>
    </xf>
    <xf numFmtId="0" fontId="9" fillId="0" borderId="0" xfId="0" applyFont="1" applyAlignment="1">
      <alignment horizontal="center"/>
    </xf>
    <xf numFmtId="170" fontId="12" fillId="0" borderId="14" xfId="0" applyNumberFormat="1" applyFont="1" applyBorder="1" applyAlignment="1">
      <alignment horizontal="left"/>
    </xf>
    <xf numFmtId="174" fontId="9" fillId="0" borderId="1" xfId="1" applyNumberFormat="1" applyFont="1" applyBorder="1" applyAlignment="1">
      <alignment horizontal="left" vertical="center"/>
    </xf>
    <xf numFmtId="174" fontId="9" fillId="0" borderId="2" xfId="1" applyNumberFormat="1" applyFont="1" applyBorder="1" applyAlignment="1">
      <alignment horizontal="left" vertical="center"/>
    </xf>
    <xf numFmtId="174" fontId="9" fillId="0" borderId="4" xfId="1" applyNumberFormat="1" applyFont="1" applyBorder="1" applyAlignment="1">
      <alignment horizontal="left" vertical="center"/>
    </xf>
    <xf numFmtId="174" fontId="9" fillId="0" borderId="18" xfId="1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0" fontId="9" fillId="0" borderId="7" xfId="1" applyNumberFormat="1" applyFont="1" applyBorder="1" applyAlignment="1">
      <alignment horizontal="left" vertical="center"/>
    </xf>
    <xf numFmtId="170" fontId="9" fillId="0" borderId="6" xfId="1" applyNumberFormat="1" applyFont="1" applyBorder="1" applyAlignment="1">
      <alignment horizontal="left" vertical="center"/>
    </xf>
    <xf numFmtId="0" fontId="29" fillId="0" borderId="0" xfId="0" applyFont="1"/>
    <xf numFmtId="170" fontId="29" fillId="0" borderId="0" xfId="0" applyNumberFormat="1" applyFont="1" applyAlignment="1">
      <alignment horizontal="left" vertical="center"/>
    </xf>
  </cellXfs>
  <cellStyles count="3">
    <cellStyle name="20% - Accent3" xfId="2" builtinId="38"/>
    <cellStyle name="Currency" xfId="1" builtinId="4"/>
    <cellStyle name="Normal" xfId="0" builtinId="0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theme="1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2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numFmt numFmtId="165" formatCode="_-[$R-1C09]* #,##0.00_-;\-[$R-1C09]* #,##0.00_-;_-[$R-1C09]* &quot;-&quot;??_-;_-@_-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numFmt numFmtId="165" formatCode="_-[$R-1C09]* #,##0.00_-;\-[$R-1C09]* #,##0.00_-;_-[$R-1C09]* &quot;-&quot;??_-;_-@_-"/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numFmt numFmtId="165" formatCode="_-[$R-1C09]* #,##0.00_-;\-[$R-1C09]* #,##0.00_-;_-[$R-1C09]* &quot;-&quot;??_-;_-@_-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C6C871F-51AF-4BE9-8F07-3A11BE670EE4}" name="Table5" displayName="Table5" ref="A2:F11" headerRowCount="0" totalsRowShown="0" headerRowDxfId="107" dataDxfId="106" headerRowBorderDxfId="104" tableBorderDxfId="105">
  <tableColumns count="6">
    <tableColumn id="1" xr3:uid="{DDD8087C-53D5-48C1-A19F-95AF2E0EC64B}" name="Column1" headerRowDxfId="103" dataDxfId="102"/>
    <tableColumn id="3" xr3:uid="{3BE7C583-850D-43F0-8D30-F3B2353BE349}" name="Column3" headerRowDxfId="101" dataDxfId="100"/>
    <tableColumn id="4" xr3:uid="{1D831868-78A4-4B0E-8E7E-A5E307D6F5E1}" name="Column4" headerRowDxfId="99" dataDxfId="98"/>
    <tableColumn id="5" xr3:uid="{7ED64A99-272F-4750-BE35-594593342EE1}" name="Column5" headerRowDxfId="97" dataDxfId="96" dataCellStyle="Currency"/>
    <tableColumn id="6" xr3:uid="{17B8B0BA-FE8E-4C3A-A27D-6554C652D16E}" name="Column6" headerRowDxfId="95" dataDxfId="94" dataCellStyle="Currency"/>
    <tableColumn id="7" xr3:uid="{8577E3A2-B31C-4D5C-AAEC-22395F4BA4F6}" name="Column7" headerRowDxfId="93" dataDxfId="92" dataCellStyle="Currency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0A7A9C-9F30-44F9-967C-A0F6C57CF6E1}" name="Table6" displayName="Table6" ref="A22:F29" headerRowCount="0" totalsRowShown="0" headerRowDxfId="91" dataDxfId="90" tableBorderDxfId="89">
  <tableColumns count="6">
    <tableColumn id="1" xr3:uid="{B0DB6860-1C2F-425C-A271-8D22A14B5344}" name="Column1" headerRowDxfId="88" dataDxfId="87"/>
    <tableColumn id="2" xr3:uid="{40A40023-F68A-460E-BA7F-EE95D890CDB9}" name="Column2" headerRowDxfId="86" dataDxfId="85"/>
    <tableColumn id="4" xr3:uid="{D7814D30-DC78-4B19-912C-E4E84848DA56}" name="Column4" headerRowDxfId="84" dataDxfId="83"/>
    <tableColumn id="5" xr3:uid="{D62ED6CE-6822-4D4B-A779-F30BE20C4836}" name="Column5" headerRowDxfId="82" dataDxfId="81"/>
    <tableColumn id="6" xr3:uid="{B2B11BB3-A2AF-47C1-9FF5-A14032B5C12A}" name="Column6" headerRowDxfId="80" dataDxfId="79"/>
    <tableColumn id="3" xr3:uid="{F89CE934-3699-49F3-A90D-E0F6042C346D}" name="Column7" headerRowDxfId="78" dataDxfId="77"/>
  </tableColumns>
  <tableStyleInfo name="TableStyleLight1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574009-7ECC-7647-A8CB-86EC4B1DA361}" name="Table4" displayName="Table4" ref="A13:E20" headerRowCount="0" totalsRowShown="0" headerRowDxfId="76" dataDxfId="75" tableBorderDxfId="74">
  <tableColumns count="5">
    <tableColumn id="1" xr3:uid="{39428161-CB73-2F4E-ADAE-D736DCDA3D25}" name="Column1" headerRowDxfId="73" dataDxfId="72"/>
    <tableColumn id="2" xr3:uid="{63CDD7C9-9B13-2B40-8B05-ABF0A660CD81}" name="Column2" headerRowDxfId="71" dataDxfId="70"/>
    <tableColumn id="3" xr3:uid="{3D6FEEB4-7FA5-1847-A6EA-2A98BC4E4804}" name="Column3" headerRowDxfId="69" dataDxfId="68"/>
    <tableColumn id="4" xr3:uid="{47434D87-4A08-7344-8FC5-90815AD12C4C}" name="Column4" headerRowDxfId="67" dataDxfId="66"/>
    <tableColumn id="5" xr3:uid="{A8D06723-99BC-BE47-AB60-9CDF6B482311}" name="Column5" headerRowDxfId="65" dataDxfId="64" dataCellStyle="Currency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33184BD-4F42-437B-A189-1BABEC0FDAA5}" name="Table2910" displayName="Table2910" ref="A2:F25" headerRowCount="0" totalsRowShown="0" headerRowDxfId="63" dataDxfId="62" tableBorderDxfId="61">
  <tableColumns count="6">
    <tableColumn id="1" xr3:uid="{CA971EE8-A8AF-4FD3-BF45-CF0D4CECF447}" name="Column1" headerRowDxfId="60" dataDxfId="59"/>
    <tableColumn id="4" xr3:uid="{051C772C-D362-4B45-99FA-746FD9695865}" name="Column4" headerRowDxfId="58" dataDxfId="57"/>
    <tableColumn id="5" xr3:uid="{2DC1392C-CB53-4DD8-A2BD-158F7D367CDD}" name="Column5" headerRowDxfId="56" dataDxfId="55"/>
    <tableColumn id="6" xr3:uid="{E2965C4F-C765-4167-8348-A2973DECA947}" name="Column6" headerRowDxfId="54" dataDxfId="53"/>
    <tableColumn id="7" xr3:uid="{70499530-C8CE-49D3-9E0B-6D16A87F7672}" name="Column7" headerRowDxfId="52" dataDxfId="51"/>
    <tableColumn id="2" xr3:uid="{5368FFF6-7156-4BEA-A10B-ABF2C0EC1718}" name="Column2" headerRowDxfId="50" dataDxfId="49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55BA9FA-AC60-446A-B10B-446093081D03}" name="Table29" displayName="Table29" ref="A2:E27" headerRowCount="0" totalsRowShown="0" headerRowDxfId="48" dataDxfId="47" tableBorderDxfId="46">
  <tableColumns count="5">
    <tableColumn id="1" xr3:uid="{02D79ABE-A833-41FB-8EF3-B3B872B72E0E}" name="Column1" headerRowDxfId="45" dataDxfId="44"/>
    <tableColumn id="4" xr3:uid="{FA034E8A-C492-4886-AE3F-6E7FD759C8FC}" name="Column4" headerRowDxfId="43" dataDxfId="42"/>
    <tableColumn id="5" xr3:uid="{CEB1BE81-E028-4C7E-81E9-788060F69B40}" name="Column5" headerRowDxfId="41" dataDxfId="40"/>
    <tableColumn id="6" xr3:uid="{CE82A16D-3F00-415B-A094-AC8F8BBD349B}" name="Column6" headerRowDxfId="39" dataDxfId="38"/>
    <tableColumn id="7" xr3:uid="{FBFDDC8A-355B-437F-8806-DCEB6F4E9EFF}" name="Column7" headerRowDxfId="37" dataDxfId="3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902CA-1170-4884-AD82-78CF6EBED661}" name="Table2" displayName="Table2" ref="A2:E24" headerRowCount="0" totalsRowShown="0" headerRowDxfId="35" dataDxfId="34" tableBorderDxfId="33">
  <tableColumns count="5">
    <tableColumn id="1" xr3:uid="{ADA29CF3-0257-46EF-9B31-A7303254412E}" name="Column1" headerRowDxfId="32" dataDxfId="31"/>
    <tableColumn id="4" xr3:uid="{1385C975-8920-4D23-ACCB-4BBC892A9C49}" name="Column4" headerRowDxfId="30" dataDxfId="29"/>
    <tableColumn id="5" xr3:uid="{EA39CF8E-B018-49B2-B7BA-15F193D91F97}" name="Column5" headerRowDxfId="28" dataDxfId="27"/>
    <tableColumn id="6" xr3:uid="{E772D929-138A-4663-B955-7912E98D60F3}" name="Column6" headerRowDxfId="26" dataDxfId="25"/>
    <tableColumn id="7" xr3:uid="{E606CA24-A604-4F7D-9789-8ECC055EB13D}" name="Column7" headerRowDxfId="24" dataDxfId="23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052E18-128F-444F-A38B-2AF7BE7E05B5}" name="Table3" displayName="Table3" ref="A1:E41" headerRowCount="0" totalsRowShown="0" headerRowDxfId="22" dataDxfId="21" tableBorderDxfId="20">
  <tableColumns count="5">
    <tableColumn id="1" xr3:uid="{E78CC85D-5EAA-43E5-B038-44B064FE9B5A}" name="Column1" headerRowDxfId="19" dataDxfId="18"/>
    <tableColumn id="3" xr3:uid="{73A2B5CD-BEAB-4DE9-963F-F81BD0C72130}" name="Column2" headerRowDxfId="17" dataDxfId="16"/>
    <tableColumn id="5" xr3:uid="{D89DE20F-A9DD-4A99-9366-DC3646AD917E}" name="Column5" headerRowDxfId="15" dataDxfId="14"/>
    <tableColumn id="6" xr3:uid="{16337617-A9D8-4724-A678-D27578023E4C}" name="Column6" headerRowDxfId="13" dataDxfId="12"/>
    <tableColumn id="7" xr3:uid="{97EB4DF2-2D25-4505-97AA-4A7E4CAF570E}" name="Column7" headerRowDxfId="11" dataDxfId="10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8A72E6-1552-4E68-A1DD-C471F7DB63FB}" name="Table32" displayName="Table32" ref="A2:D28" headerRowCount="0" totalsRowShown="0" headerRowDxfId="9" dataDxfId="8" tableBorderDxfId="7">
  <tableColumns count="4">
    <tableColumn id="1" xr3:uid="{018930EF-6462-43A2-9002-971B435714E3}" name="Column1" headerRowDxfId="6"/>
    <tableColumn id="5" xr3:uid="{55848C3F-81E7-4521-A091-E3779BDC90C0}" name="Column5" headerRowDxfId="5" dataDxfId="4"/>
    <tableColumn id="6" xr3:uid="{75F278B3-89B8-40D2-A6C6-92A6A2223BCA}" name="Column6" headerRowDxfId="3" dataDxfId="2"/>
    <tableColumn id="7" xr3:uid="{B613D117-E411-4FF5-A937-4614E36F47DF}" name="Column7" headerRowDxfId="1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3C333-49C7-4EB1-9A6F-2709A911B951}">
  <dimension ref="A1:O34"/>
  <sheetViews>
    <sheetView tabSelected="1" showWhiteSpace="0" zoomScaleNormal="100" zoomScalePageLayoutView="170" workbookViewId="0">
      <selection activeCell="K7" sqref="K7"/>
    </sheetView>
  </sheetViews>
  <sheetFormatPr defaultColWidth="8.7109375" defaultRowHeight="14.45" outlineLevelCol="2"/>
  <cols>
    <col min="1" max="1" width="9.140625" customWidth="1" outlineLevel="2"/>
    <col min="2" max="2" width="11" customWidth="1" outlineLevel="2"/>
    <col min="3" max="3" width="17.28515625" bestFit="1" customWidth="1"/>
    <col min="4" max="4" width="21" bestFit="1" customWidth="1"/>
    <col min="5" max="5" width="17.7109375" bestFit="1" customWidth="1"/>
    <col min="6" max="6" width="14" bestFit="1" customWidth="1"/>
    <col min="7" max="7" width="11.7109375" bestFit="1" customWidth="1"/>
    <col min="8" max="8" width="14" customWidth="1"/>
    <col min="9" max="10" width="14.140625" bestFit="1" customWidth="1"/>
    <col min="11" max="11" width="14.28515625" bestFit="1" customWidth="1"/>
    <col min="13" max="13" width="11.28515625" bestFit="1" customWidth="1"/>
    <col min="15" max="15" width="9.28515625" bestFit="1" customWidth="1"/>
  </cols>
  <sheetData>
    <row r="1" spans="1:15" ht="15">
      <c r="J1" s="223">
        <v>11</v>
      </c>
      <c r="K1" s="283"/>
    </row>
    <row r="2" spans="1:15">
      <c r="A2" s="27"/>
      <c r="B2" s="27"/>
      <c r="C2" s="28" t="s">
        <v>0</v>
      </c>
      <c r="D2" s="28"/>
      <c r="E2" s="27"/>
      <c r="F2" s="27"/>
      <c r="G2" s="1"/>
      <c r="H2" s="1"/>
      <c r="K2" s="216"/>
    </row>
    <row r="3" spans="1:15">
      <c r="A3" s="29"/>
      <c r="B3" s="29"/>
      <c r="C3" s="29"/>
      <c r="D3" s="29"/>
      <c r="E3" s="29"/>
      <c r="F3" s="29"/>
      <c r="G3" s="1"/>
      <c r="H3" s="224"/>
      <c r="I3" s="224"/>
      <c r="K3" s="217"/>
      <c r="M3" s="217"/>
    </row>
    <row r="4" spans="1:15" ht="15">
      <c r="A4" s="30" t="s">
        <v>1</v>
      </c>
      <c r="B4" s="31"/>
      <c r="C4" s="32" t="s">
        <v>2</v>
      </c>
      <c r="D4" s="32" t="s">
        <v>3</v>
      </c>
      <c r="E4" s="32" t="s">
        <v>4</v>
      </c>
      <c r="F4" s="32" t="s">
        <v>5</v>
      </c>
      <c r="G4" s="16"/>
      <c r="H4" s="19"/>
      <c r="I4" s="20"/>
      <c r="J4" s="223" t="s">
        <v>6</v>
      </c>
      <c r="K4" s="284"/>
      <c r="M4" s="218"/>
      <c r="O4" s="158"/>
    </row>
    <row r="5" spans="1:15">
      <c r="A5" s="33"/>
      <c r="B5" s="33"/>
      <c r="C5" s="33"/>
      <c r="D5" s="33"/>
      <c r="E5" s="33"/>
      <c r="F5" s="34"/>
      <c r="G5" s="15"/>
      <c r="H5" s="19"/>
      <c r="I5" s="20"/>
      <c r="K5" s="218"/>
      <c r="M5" s="218"/>
    </row>
    <row r="6" spans="1:15">
      <c r="A6" s="35" t="s">
        <v>7</v>
      </c>
      <c r="B6" s="36"/>
      <c r="C6" s="189">
        <v>9100000</v>
      </c>
      <c r="D6" s="190">
        <f>SUM(Table5[[#This Row],[Column4]]*275000)/$C$11</f>
        <v>175812.96974547047</v>
      </c>
      <c r="E6" s="200">
        <f>SUM(52000*Table5[[#This Row],[Column4]])/$C$11</f>
        <v>33244.634279143509</v>
      </c>
      <c r="F6" s="190">
        <v>425000</v>
      </c>
      <c r="G6" s="4"/>
      <c r="H6" s="19"/>
      <c r="I6" s="20"/>
      <c r="J6" s="205"/>
      <c r="K6" s="207"/>
      <c r="M6" s="207"/>
    </row>
    <row r="7" spans="1:15" ht="15.6">
      <c r="A7" s="35" t="s">
        <v>8</v>
      </c>
      <c r="B7" s="36"/>
      <c r="C7" s="189">
        <v>3500000</v>
      </c>
      <c r="D7" s="190">
        <f>SUM(Table5[[#This Row],[Column4]]*275000)/$C$11</f>
        <v>67620.372979027103</v>
      </c>
      <c r="E7" s="200">
        <f>SUM(52000*Table5[[#This Row],[Column4]])/$C$11</f>
        <v>12786.39779967058</v>
      </c>
      <c r="F7" s="190">
        <v>32563.41</v>
      </c>
      <c r="G7" s="4"/>
      <c r="H7" s="221" t="s">
        <v>9</v>
      </c>
      <c r="I7" s="221" t="s">
        <v>9</v>
      </c>
      <c r="J7" s="209"/>
      <c r="K7" s="209"/>
      <c r="M7" s="209"/>
    </row>
    <row r="8" spans="1:15" ht="15.6">
      <c r="A8" s="35" t="s">
        <v>10</v>
      </c>
      <c r="B8" s="36"/>
      <c r="C8" s="189">
        <v>1150000</v>
      </c>
      <c r="D8" s="190">
        <f>SUM(Table5[[#This Row],[Column4]]*275000)/$C$11</f>
        <v>22218.122550251763</v>
      </c>
      <c r="E8" s="200">
        <f>SUM(52000*Table5[[#This Row],[Column4]])/$C$11</f>
        <v>4201.2449913203336</v>
      </c>
      <c r="F8" s="190">
        <v>0</v>
      </c>
      <c r="G8" s="4"/>
      <c r="H8" s="221" t="s">
        <v>9</v>
      </c>
      <c r="I8" s="221" t="s">
        <v>9</v>
      </c>
    </row>
    <row r="9" spans="1:15">
      <c r="A9" s="35" t="s">
        <v>11</v>
      </c>
      <c r="B9" s="36"/>
      <c r="C9" s="189">
        <v>483875.94</v>
      </c>
      <c r="D9" s="190">
        <f>SUM(Table5[[#This Row],[Column4]]*275000)/$C$11</f>
        <v>9348.534725250669</v>
      </c>
      <c r="E9" s="200">
        <f>SUM(52000*Table5[[#This Row],[Column4]])/$C$11</f>
        <v>1767.7229298655809</v>
      </c>
      <c r="F9" s="190">
        <v>2554.7800000000002</v>
      </c>
      <c r="G9" s="4"/>
      <c r="I9" s="21"/>
    </row>
    <row r="10" spans="1:15">
      <c r="A10" s="35"/>
      <c r="B10" s="35"/>
      <c r="C10" s="38"/>
      <c r="D10" s="37"/>
      <c r="E10" s="37"/>
      <c r="F10" s="204"/>
      <c r="G10" s="15"/>
    </row>
    <row r="11" spans="1:15">
      <c r="A11" s="39"/>
      <c r="B11" s="40" t="s">
        <v>12</v>
      </c>
      <c r="C11" s="193">
        <f>SUM(C6:C9)</f>
        <v>14233875.939999999</v>
      </c>
      <c r="D11" s="191">
        <f>SUM(D6:D9)</f>
        <v>275000</v>
      </c>
      <c r="E11" s="192">
        <f>SUM(E6:E9)</f>
        <v>52000</v>
      </c>
      <c r="F11" s="193">
        <f>SUM(F6:F9)</f>
        <v>460118.19</v>
      </c>
      <c r="G11" s="17"/>
      <c r="J11" s="209"/>
    </row>
    <row r="12" spans="1:15" ht="15.6">
      <c r="B12" s="221" t="s">
        <v>9</v>
      </c>
      <c r="C12" s="221" t="s">
        <v>9</v>
      </c>
      <c r="D12" s="221" t="s">
        <v>9</v>
      </c>
      <c r="E12" s="221" t="s">
        <v>9</v>
      </c>
    </row>
    <row r="13" spans="1:15">
      <c r="A13" s="44"/>
      <c r="B13" s="44"/>
      <c r="C13" s="28" t="s">
        <v>13</v>
      </c>
      <c r="D13" s="28"/>
      <c r="E13" s="45"/>
    </row>
    <row r="14" spans="1:15" ht="17.45">
      <c r="A14" s="119" t="s">
        <v>14</v>
      </c>
      <c r="B14" s="46"/>
      <c r="C14" s="46"/>
      <c r="D14" s="47"/>
      <c r="E14" s="48"/>
    </row>
    <row r="15" spans="1:15">
      <c r="A15" s="49"/>
      <c r="B15" s="49"/>
      <c r="C15" s="49"/>
      <c r="D15" s="50"/>
      <c r="E15" s="51"/>
    </row>
    <row r="16" spans="1:15" ht="15.6">
      <c r="A16" s="49"/>
      <c r="B16" s="52" t="s">
        <v>15</v>
      </c>
      <c r="C16" s="52"/>
      <c r="D16" s="136">
        <v>14233875.939999999</v>
      </c>
      <c r="E16" s="186">
        <f>IF(D16&gt;150000,1000,0)</f>
        <v>1000</v>
      </c>
      <c r="G16" s="221" t="s">
        <v>9</v>
      </c>
    </row>
    <row r="17" spans="1:9">
      <c r="A17" s="52"/>
      <c r="B17" s="52"/>
      <c r="C17" s="52" t="s">
        <v>16</v>
      </c>
      <c r="D17" s="184">
        <v>150000</v>
      </c>
      <c r="E17" s="187"/>
    </row>
    <row r="18" spans="1:9">
      <c r="A18" s="49"/>
      <c r="B18" s="49"/>
      <c r="C18" s="49"/>
      <c r="D18" s="185">
        <f>SUM(D16-D17)</f>
        <v>14083875.939999999</v>
      </c>
      <c r="E18" s="187"/>
    </row>
    <row r="19" spans="1:9" ht="39" customHeight="1">
      <c r="A19" s="53"/>
      <c r="B19" s="33"/>
      <c r="C19" s="54" t="s">
        <v>17</v>
      </c>
      <c r="D19" s="55">
        <f>INT(D18/5000)</f>
        <v>2816</v>
      </c>
      <c r="E19" s="188">
        <f>SUM(D19*275)</f>
        <v>774400</v>
      </c>
      <c r="G19" s="221" t="s">
        <v>9</v>
      </c>
      <c r="H19" s="221" t="s">
        <v>9</v>
      </c>
    </row>
    <row r="20" spans="1:9" ht="15.6">
      <c r="A20" s="49"/>
      <c r="B20" s="54"/>
      <c r="C20" s="54"/>
      <c r="D20" s="118" t="s">
        <v>18</v>
      </c>
      <c r="E20" s="183">
        <f>IF(E19&gt;275000,275000,"=sum(E16:E19")</f>
        <v>275000</v>
      </c>
      <c r="H20" s="221" t="s">
        <v>9</v>
      </c>
    </row>
    <row r="22" spans="1:9">
      <c r="A22" s="131"/>
      <c r="B22" s="131"/>
      <c r="C22" s="132"/>
      <c r="D22" s="133"/>
      <c r="E22" s="131"/>
      <c r="F22" s="56"/>
    </row>
    <row r="23" spans="1:9">
      <c r="A23" s="57" t="s">
        <v>19</v>
      </c>
      <c r="B23" s="57"/>
      <c r="C23" s="23"/>
      <c r="D23" s="23"/>
      <c r="E23" s="23"/>
      <c r="F23" s="23"/>
      <c r="G23" s="1"/>
      <c r="H23" s="1"/>
    </row>
    <row r="24" spans="1:9">
      <c r="A24" s="58"/>
      <c r="B24" s="58"/>
      <c r="C24" s="59" t="s">
        <v>20</v>
      </c>
      <c r="D24" s="59" t="s">
        <v>21</v>
      </c>
      <c r="E24" s="59" t="s">
        <v>22</v>
      </c>
      <c r="F24" s="59" t="s">
        <v>11</v>
      </c>
      <c r="G24" s="12"/>
      <c r="H24" s="12"/>
    </row>
    <row r="25" spans="1:9" ht="15.6">
      <c r="A25" s="60" t="s">
        <v>23</v>
      </c>
      <c r="B25" s="60"/>
      <c r="C25" s="179">
        <f>SUM('EA 1 '!E7)*0.03</f>
        <v>273000</v>
      </c>
      <c r="D25" s="179">
        <f>SUM('EA 2'!E6*0.1)</f>
        <v>350000</v>
      </c>
      <c r="E25" s="179">
        <f>SUM('EA 3'!E5*0.1)</f>
        <v>115000</v>
      </c>
      <c r="F25" s="177">
        <f>SUM('Free Residue'!E5,'Free Residue'!E6,'Free Residue'!E7,'Free Residue'!E8)*0.1</f>
        <v>48387.594000000005</v>
      </c>
      <c r="G25" s="1"/>
      <c r="H25" s="221"/>
      <c r="I25" s="207"/>
    </row>
    <row r="26" spans="1:9" ht="15" thickBot="1">
      <c r="A26" s="61" t="s">
        <v>24</v>
      </c>
      <c r="B26" s="61"/>
      <c r="C26" s="180">
        <f>SUM('EA 1 '!C7*0.15)*0.03</f>
        <v>5341.3043478260861</v>
      </c>
      <c r="D26" s="180">
        <f>SUM('EA 2'!C6*0.15)*0.1</f>
        <v>6847.826086956522</v>
      </c>
      <c r="E26" s="182">
        <f>SUM('EA 3'!C5*0.15)*0.1</f>
        <v>2250</v>
      </c>
      <c r="F26" s="182">
        <f>SUM('Free Residue'!C5,'Free Residue'!C6,'Free Residue'!C7)*0.15*(0.1)</f>
        <v>773.74733478260862</v>
      </c>
      <c r="G26" s="1"/>
      <c r="H26" s="1"/>
      <c r="I26" s="208"/>
    </row>
    <row r="27" spans="1:9">
      <c r="A27" s="60" t="s">
        <v>25</v>
      </c>
      <c r="B27" s="60"/>
      <c r="C27" s="179">
        <f>SUM(C25-C26)</f>
        <v>267658.69565217389</v>
      </c>
      <c r="D27" s="179">
        <f>SUM(D25-D26)</f>
        <v>343152.17391304346</v>
      </c>
      <c r="E27" s="179">
        <f>SUM(E25-E26)</f>
        <v>112750</v>
      </c>
      <c r="F27" s="179">
        <f>SUM(F25-F26)</f>
        <v>47613.846665217396</v>
      </c>
      <c r="G27" s="1"/>
      <c r="H27" s="1"/>
      <c r="I27" s="177"/>
    </row>
    <row r="28" spans="1:9" ht="15" thickBot="1">
      <c r="A28" s="61" t="s">
        <v>26</v>
      </c>
      <c r="B28" s="61"/>
      <c r="C28" s="180">
        <f>SUM(C27*0.15)</f>
        <v>40148.804347826081</v>
      </c>
      <c r="D28" s="180">
        <f>SUM(D27*0.15)</f>
        <v>51472.82608695652</v>
      </c>
      <c r="E28" s="180">
        <f>SUM(E27*0.15)</f>
        <v>16912.5</v>
      </c>
      <c r="F28" s="180">
        <f>SUM(F27*0.15)</f>
        <v>7142.0769997826092</v>
      </c>
      <c r="I28" s="177"/>
    </row>
    <row r="29" spans="1:9">
      <c r="A29" s="25"/>
      <c r="B29" s="100" t="s">
        <v>27</v>
      </c>
      <c r="C29" s="181">
        <f>SUM(C27:C28)</f>
        <v>307807.5</v>
      </c>
      <c r="D29" s="181">
        <f>SUM(D27:D28)</f>
        <v>394625</v>
      </c>
      <c r="E29" s="181">
        <f>SUM(E27:E28)</f>
        <v>129662.5</v>
      </c>
      <c r="F29" s="181">
        <f>SUM(F27:F28)</f>
        <v>54755.923665000002</v>
      </c>
      <c r="I29" s="181"/>
    </row>
    <row r="31" spans="1:9" ht="15.6">
      <c r="C31" s="221" t="s">
        <v>9</v>
      </c>
      <c r="D31" s="221" t="s">
        <v>9</v>
      </c>
      <c r="E31" s="221" t="s">
        <v>9</v>
      </c>
    </row>
    <row r="32" spans="1:9" ht="15.6">
      <c r="C32" s="221" t="s">
        <v>9</v>
      </c>
      <c r="D32" s="221" t="s">
        <v>9</v>
      </c>
      <c r="E32" s="221" t="s">
        <v>9</v>
      </c>
    </row>
    <row r="33" spans="4:5" ht="15.6">
      <c r="D33" s="221" t="s">
        <v>9</v>
      </c>
      <c r="E33" s="221" t="s">
        <v>9</v>
      </c>
    </row>
    <row r="34" spans="4:5" ht="15.6">
      <c r="D34" s="221" t="s">
        <v>9</v>
      </c>
      <c r="E34" s="221" t="s">
        <v>9</v>
      </c>
    </row>
  </sheetData>
  <dataConsolidate/>
  <mergeCells count="1">
    <mergeCell ref="H3:I3"/>
  </mergeCells>
  <phoneticPr fontId="8" type="noConversion"/>
  <pageMargins left="0.7" right="0.7" top="0.75" bottom="0.75" header="0.3" footer="0.3"/>
  <pageSetup paperSize="9" orientation="landscape" r:id="rId1"/>
  <headerFooter>
    <oddFooter>&amp;L&amp;"Helvetica Neue,Regular"&amp;13&amp;K000000 &amp;"Avenir Next Regular,Regular"&amp;11 202223-1073.Paper2Summative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BC93-652A-427F-9E5D-003CB060A38A}">
  <dimension ref="A1:K25"/>
  <sheetViews>
    <sheetView zoomScaleNormal="100" zoomScalePageLayoutView="180" workbookViewId="0">
      <selection activeCell="K7" sqref="K7"/>
    </sheetView>
  </sheetViews>
  <sheetFormatPr defaultColWidth="8.7109375" defaultRowHeight="14.45"/>
  <cols>
    <col min="1" max="1" width="30.7109375" customWidth="1"/>
    <col min="2" max="3" width="12.7109375" bestFit="1" customWidth="1"/>
    <col min="4" max="4" width="14" bestFit="1" customWidth="1"/>
    <col min="5" max="5" width="13.7109375" bestFit="1" customWidth="1"/>
    <col min="6" max="7" width="11.140625" bestFit="1" customWidth="1"/>
  </cols>
  <sheetData>
    <row r="1" spans="1:11" ht="31.9" customHeight="1">
      <c r="A1" s="225" t="s">
        <v>28</v>
      </c>
      <c r="B1" s="226"/>
      <c r="C1" s="226"/>
      <c r="D1" s="226"/>
      <c r="E1" s="226"/>
      <c r="G1" s="221" t="s">
        <v>9</v>
      </c>
      <c r="H1" s="221" t="s">
        <v>9</v>
      </c>
      <c r="J1" s="223">
        <v>9</v>
      </c>
      <c r="K1" s="283"/>
    </row>
    <row r="2" spans="1:11">
      <c r="A2" s="62"/>
      <c r="B2" s="62"/>
      <c r="C2" s="62"/>
      <c r="D2" s="63"/>
      <c r="E2" s="64"/>
      <c r="F2" s="25"/>
    </row>
    <row r="3" spans="1:11">
      <c r="A3" s="65" t="s">
        <v>29</v>
      </c>
      <c r="B3" s="66"/>
      <c r="C3" s="67" t="s">
        <v>30</v>
      </c>
      <c r="D3" s="68" t="s">
        <v>31</v>
      </c>
      <c r="E3" s="68" t="s">
        <v>32</v>
      </c>
      <c r="F3" s="25"/>
    </row>
    <row r="4" spans="1:11">
      <c r="A4" s="25"/>
      <c r="B4" s="69"/>
      <c r="C4" s="70"/>
      <c r="D4" s="71"/>
      <c r="E4" s="72"/>
      <c r="F4" s="25"/>
    </row>
    <row r="5" spans="1:11">
      <c r="A5" s="24" t="s">
        <v>33</v>
      </c>
      <c r="B5" s="69"/>
      <c r="C5" s="70"/>
      <c r="D5" s="71"/>
      <c r="E5" s="72"/>
      <c r="F5" s="25"/>
    </row>
    <row r="6" spans="1:11" ht="15.6">
      <c r="A6" s="25"/>
      <c r="B6" s="69"/>
      <c r="C6" s="221" t="s">
        <v>9</v>
      </c>
      <c r="D6" s="71"/>
      <c r="E6" s="72"/>
      <c r="F6" s="25"/>
    </row>
    <row r="7" spans="1:11" ht="52.9">
      <c r="A7" s="43" t="s">
        <v>34</v>
      </c>
      <c r="B7" s="73"/>
      <c r="C7" s="166">
        <f>SUM(Table2910[[#This Row],[Column7]]/1.15)*0.15</f>
        <v>1186956.5217391304</v>
      </c>
      <c r="D7" s="122"/>
      <c r="E7" s="122">
        <f>Schedules!C6</f>
        <v>9100000</v>
      </c>
      <c r="F7" s="25"/>
    </row>
    <row r="8" spans="1:11">
      <c r="A8" s="43"/>
      <c r="B8" s="73"/>
      <c r="C8" s="166"/>
      <c r="D8" s="122"/>
      <c r="E8" s="122"/>
      <c r="F8" s="25"/>
    </row>
    <row r="9" spans="1:11">
      <c r="A9" s="76" t="s">
        <v>35</v>
      </c>
      <c r="B9" s="69"/>
      <c r="C9" s="166"/>
      <c r="D9" s="122"/>
      <c r="E9" s="122"/>
      <c r="F9" s="25"/>
    </row>
    <row r="10" spans="1:11">
      <c r="A10" s="26"/>
      <c r="B10" s="69"/>
      <c r="C10" s="166"/>
      <c r="D10" s="120"/>
      <c r="E10" s="121"/>
      <c r="F10" s="25"/>
    </row>
    <row r="11" spans="1:11" ht="26.45">
      <c r="A11" s="43" t="s">
        <v>36</v>
      </c>
      <c r="B11" s="73"/>
      <c r="C11" s="221" t="s">
        <v>9</v>
      </c>
      <c r="D11" s="201">
        <f>Schedules!D6</f>
        <v>175812.96974547047</v>
      </c>
      <c r="E11" s="221" t="s">
        <v>9</v>
      </c>
      <c r="F11" s="25"/>
    </row>
    <row r="12" spans="1:11" ht="39.6">
      <c r="A12" s="43" t="s">
        <v>37</v>
      </c>
      <c r="B12" s="73"/>
      <c r="C12" s="194">
        <f>SUM(Table2910[[#This Row],[Column6]]*(0.15/1.15))</f>
        <v>4336.2566451056746</v>
      </c>
      <c r="D12" s="201">
        <f>Schedules!E6</f>
        <v>33244.634279143509</v>
      </c>
      <c r="E12" s="221" t="s">
        <v>9</v>
      </c>
      <c r="F12" s="222" t="s">
        <v>9</v>
      </c>
    </row>
    <row r="13" spans="1:11" ht="40.15">
      <c r="A13" s="77" t="s">
        <v>38</v>
      </c>
      <c r="B13" s="73"/>
      <c r="C13" s="194">
        <f>SUM(Table2910[[#This Row],[Column6]]*(0.15/1.15))</f>
        <v>55434.782608695648</v>
      </c>
      <c r="D13" s="201">
        <f>Schedules!F6</f>
        <v>425000</v>
      </c>
      <c r="E13" s="221" t="s">
        <v>9</v>
      </c>
      <c r="F13" s="221" t="s">
        <v>9</v>
      </c>
    </row>
    <row r="14" spans="1:11" ht="33" customHeight="1">
      <c r="A14" s="77" t="s">
        <v>39</v>
      </c>
      <c r="B14" s="78"/>
      <c r="C14" s="221" t="s">
        <v>9</v>
      </c>
      <c r="D14" s="201">
        <v>124897.5</v>
      </c>
      <c r="E14" s="221" t="s">
        <v>9</v>
      </c>
      <c r="F14" s="25"/>
    </row>
    <row r="15" spans="1:11" ht="15.6">
      <c r="A15" s="58" t="s">
        <v>40</v>
      </c>
      <c r="B15" s="78"/>
      <c r="C15" s="194">
        <f>SUM(Table2910[[#This Row],[Column6]]*0.15/1.15)</f>
        <v>40148.804347826088</v>
      </c>
      <c r="D15" s="168">
        <f>Schedules!C29</f>
        <v>307807.5</v>
      </c>
      <c r="E15" s="221" t="s">
        <v>9</v>
      </c>
      <c r="F15" s="221" t="s">
        <v>9</v>
      </c>
    </row>
    <row r="16" spans="1:11" ht="15" thickBot="1">
      <c r="A16" s="77" t="s">
        <v>41</v>
      </c>
      <c r="B16" s="78"/>
      <c r="C16" s="167"/>
      <c r="D16" s="202">
        <f>C7-SUM(C12,C13,C15)</f>
        <v>1087036.6781375029</v>
      </c>
      <c r="E16" s="122"/>
      <c r="F16" s="25"/>
    </row>
    <row r="17" spans="1:6">
      <c r="A17" s="77"/>
      <c r="B17" s="78"/>
      <c r="C17" s="195"/>
      <c r="D17" s="203">
        <f>SUM(D11,D12,D13,D14,D15,D16)</f>
        <v>2153799.2821621168</v>
      </c>
      <c r="E17" s="122"/>
      <c r="F17" s="25"/>
    </row>
    <row r="18" spans="1:6">
      <c r="A18" s="25"/>
      <c r="B18" s="69"/>
      <c r="C18" s="166"/>
      <c r="D18" s="122"/>
      <c r="E18" s="122"/>
      <c r="F18" s="25"/>
    </row>
    <row r="19" spans="1:6">
      <c r="A19" s="76" t="s">
        <v>42</v>
      </c>
      <c r="B19" s="69"/>
      <c r="C19" s="166"/>
      <c r="D19" s="122"/>
      <c r="E19" s="122"/>
      <c r="F19" s="25"/>
    </row>
    <row r="20" spans="1:6" ht="66">
      <c r="A20" s="43" t="s">
        <v>43</v>
      </c>
      <c r="B20" s="129">
        <v>8946765.3200000003</v>
      </c>
      <c r="C20" s="166"/>
      <c r="D20" s="122">
        <f>SUM(E7-D17)</f>
        <v>6946200.7178378832</v>
      </c>
      <c r="E20" s="221" t="s">
        <v>9</v>
      </c>
      <c r="F20" s="25"/>
    </row>
    <row r="21" spans="1:6" ht="15.6">
      <c r="A21" s="80"/>
      <c r="B21" s="221" t="s">
        <v>9</v>
      </c>
      <c r="C21" s="221" t="s">
        <v>9</v>
      </c>
      <c r="D21" s="122"/>
      <c r="E21" s="122"/>
      <c r="F21" s="25"/>
    </row>
    <row r="22" spans="1:6" ht="63" customHeight="1">
      <c r="A22" s="77" t="s">
        <v>44</v>
      </c>
      <c r="B22" s="82"/>
      <c r="C22" s="166"/>
      <c r="D22" s="122"/>
      <c r="E22" s="125"/>
      <c r="F22" s="25"/>
    </row>
    <row r="23" spans="1:6" ht="15.6">
      <c r="A23" s="221" t="s">
        <v>9</v>
      </c>
      <c r="B23" s="221" t="s">
        <v>9</v>
      </c>
      <c r="C23" s="166"/>
      <c r="D23" s="122"/>
      <c r="E23" s="122"/>
      <c r="F23" s="25"/>
    </row>
    <row r="24" spans="1:6">
      <c r="A24" s="25"/>
      <c r="B24" s="84"/>
      <c r="C24" s="166"/>
      <c r="D24" s="122"/>
      <c r="E24" s="126"/>
      <c r="F24" s="25"/>
    </row>
    <row r="25" spans="1:6">
      <c r="A25" s="23"/>
      <c r="B25" s="86" t="s">
        <v>12</v>
      </c>
      <c r="C25" s="127"/>
      <c r="D25" s="128">
        <f>SUM(D17,D20)</f>
        <v>9100000</v>
      </c>
      <c r="E25" s="128">
        <f>E7</f>
        <v>9100000</v>
      </c>
      <c r="F25" s="25"/>
    </row>
  </sheetData>
  <mergeCells count="1">
    <mergeCell ref="A1:E1"/>
  </mergeCells>
  <pageMargins left="0.51851851851851849" right="0.72222222222222221" top="1" bottom="1" header="0.5" footer="0.5"/>
  <pageSetup paperSize="9" orientation="portrait" r:id="rId1"/>
  <headerFooter>
    <oddHeader>&amp;L&amp;"-,Bold"&amp;UENCUMBERED ASSET ACCOUNT NUMBER 1</oddHeader>
    <oddFooter>&amp;L&amp;"Avenir Next Regular,Regular"&amp;K000000202223-1073.Paper2Summative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C107-3E4C-4159-A508-31FA81797047}">
  <dimension ref="A1:K27"/>
  <sheetViews>
    <sheetView zoomScaleNormal="100" zoomScalePageLayoutView="150" workbookViewId="0">
      <selection activeCell="K1" sqref="K1"/>
    </sheetView>
  </sheetViews>
  <sheetFormatPr defaultColWidth="8.7109375" defaultRowHeight="14.45"/>
  <cols>
    <col min="1" max="1" width="29.7109375" customWidth="1"/>
    <col min="2" max="2" width="14.7109375" bestFit="1" customWidth="1"/>
    <col min="3" max="3" width="12.42578125" bestFit="1" customWidth="1"/>
    <col min="4" max="5" width="13.7109375" bestFit="1" customWidth="1"/>
    <col min="6" max="7" width="11.140625" bestFit="1" customWidth="1"/>
  </cols>
  <sheetData>
    <row r="1" spans="1:11" ht="33" customHeight="1">
      <c r="A1" s="225" t="s">
        <v>45</v>
      </c>
      <c r="B1" s="226"/>
      <c r="C1" s="226"/>
      <c r="D1" s="226"/>
      <c r="E1" s="226"/>
      <c r="G1" s="221" t="s">
        <v>9</v>
      </c>
      <c r="H1" s="221" t="s">
        <v>9</v>
      </c>
      <c r="J1" s="223">
        <v>11.5</v>
      </c>
      <c r="K1" s="283"/>
    </row>
    <row r="2" spans="1:11">
      <c r="A2" s="62"/>
      <c r="B2" s="62"/>
      <c r="C2" s="62"/>
      <c r="D2" s="63"/>
      <c r="E2" s="64"/>
    </row>
    <row r="3" spans="1:11">
      <c r="A3" s="65" t="s">
        <v>29</v>
      </c>
      <c r="B3" s="66"/>
      <c r="C3" s="67" t="s">
        <v>30</v>
      </c>
      <c r="D3" s="68" t="s">
        <v>31</v>
      </c>
      <c r="E3" s="68" t="s">
        <v>32</v>
      </c>
    </row>
    <row r="4" spans="1:11">
      <c r="A4" s="25"/>
      <c r="B4" s="69"/>
      <c r="C4" s="25"/>
      <c r="D4" s="97"/>
      <c r="E4" s="41"/>
    </row>
    <row r="5" spans="1:11">
      <c r="A5" s="24" t="s">
        <v>33</v>
      </c>
      <c r="B5" s="69"/>
      <c r="C5" s="25"/>
      <c r="D5" s="97"/>
      <c r="E5" s="41"/>
    </row>
    <row r="6" spans="1:11" ht="40.15">
      <c r="A6" s="101" t="s">
        <v>46</v>
      </c>
      <c r="B6" s="69"/>
      <c r="C6" s="177">
        <f>SUM(Table29[[#This Row],[Column7]]/1.15)*0.15</f>
        <v>456521.73913043481</v>
      </c>
      <c r="D6" s="97"/>
      <c r="E6" s="175">
        <f>Schedules!C7</f>
        <v>3500000</v>
      </c>
    </row>
    <row r="7" spans="1:11" ht="15.6">
      <c r="A7" s="43"/>
      <c r="B7" s="73"/>
      <c r="C7" s="221" t="s">
        <v>9</v>
      </c>
      <c r="D7" s="75"/>
      <c r="E7" s="75"/>
    </row>
    <row r="8" spans="1:11">
      <c r="A8" s="42"/>
      <c r="B8" s="98"/>
      <c r="C8" s="74"/>
      <c r="D8" s="75"/>
      <c r="E8" s="75"/>
    </row>
    <row r="9" spans="1:11">
      <c r="A9" s="43"/>
      <c r="B9" s="73"/>
      <c r="C9" s="74"/>
      <c r="D9" s="75"/>
      <c r="E9" s="75"/>
    </row>
    <row r="10" spans="1:11">
      <c r="A10" s="76" t="s">
        <v>35</v>
      </c>
      <c r="B10" s="69"/>
      <c r="C10" s="74"/>
      <c r="D10" s="75"/>
      <c r="E10" s="75"/>
    </row>
    <row r="11" spans="1:11" ht="15.6">
      <c r="A11" s="26"/>
      <c r="B11" s="69"/>
      <c r="C11" s="74"/>
      <c r="D11" s="221" t="s">
        <v>9</v>
      </c>
      <c r="E11" s="74"/>
    </row>
    <row r="12" spans="1:11" ht="26.45">
      <c r="A12" s="43" t="s">
        <v>47</v>
      </c>
      <c r="B12" s="73"/>
      <c r="C12" s="221" t="s">
        <v>9</v>
      </c>
      <c r="D12" s="141">
        <f>Schedules!D7</f>
        <v>67620.372979027103</v>
      </c>
      <c r="E12" s="75"/>
    </row>
    <row r="13" spans="1:11" ht="39.6">
      <c r="A13" s="43" t="s">
        <v>37</v>
      </c>
      <c r="B13" s="73"/>
      <c r="C13" s="165">
        <f>SUM(Table29[[#This Row],[Column6]]/1.15)*0.15</f>
        <v>1667.7910173483365</v>
      </c>
      <c r="D13" s="141">
        <f>Schedules!E7</f>
        <v>12786.39779967058</v>
      </c>
      <c r="E13" s="75"/>
      <c r="F13" s="221" t="s">
        <v>9</v>
      </c>
      <c r="G13" s="221" t="s">
        <v>9</v>
      </c>
    </row>
    <row r="14" spans="1:11" ht="40.15">
      <c r="A14" s="77" t="s">
        <v>48</v>
      </c>
      <c r="B14" s="73"/>
      <c r="C14" s="165">
        <f>SUM(Table29[[#This Row],[Column6]]/1.15)*0.15</f>
        <v>4247.4013043478262</v>
      </c>
      <c r="D14" s="141">
        <f>Schedules!F7</f>
        <v>32563.41</v>
      </c>
      <c r="E14" s="75"/>
      <c r="F14" s="221" t="s">
        <v>9</v>
      </c>
      <c r="G14" s="221" t="s">
        <v>9</v>
      </c>
    </row>
    <row r="15" spans="1:11" ht="46.9" customHeight="1">
      <c r="A15" s="77" t="s">
        <v>49</v>
      </c>
      <c r="B15" s="78"/>
      <c r="C15" s="165">
        <f>SUM(Table29[[#This Row],[Column6]]/1.15)*0.15</f>
        <v>3732.1004347826092</v>
      </c>
      <c r="D15" s="161">
        <v>28612.77</v>
      </c>
      <c r="E15" s="74"/>
      <c r="F15" s="221" t="s">
        <v>9</v>
      </c>
      <c r="G15" s="221" t="s">
        <v>9</v>
      </c>
    </row>
    <row r="16" spans="1:11" ht="15.6">
      <c r="A16" s="58" t="s">
        <v>50</v>
      </c>
      <c r="B16" s="78"/>
      <c r="C16" s="165">
        <f>SUM(Table29[[#This Row],[Column6]]/1.15)*0.15</f>
        <v>51472.826086956527</v>
      </c>
      <c r="D16" s="161">
        <f>Schedules!D29</f>
        <v>394625</v>
      </c>
      <c r="E16" s="75"/>
      <c r="F16" s="221" t="s">
        <v>9</v>
      </c>
      <c r="G16" s="221" t="s">
        <v>9</v>
      </c>
    </row>
    <row r="17" spans="1:7" ht="16.149999999999999" thickBot="1">
      <c r="A17" s="77" t="s">
        <v>41</v>
      </c>
      <c r="B17" s="78"/>
      <c r="C17" s="75"/>
      <c r="D17" s="169">
        <f>C6-SUM(C13,C14,C15,C16)</f>
        <v>395401.6202869995</v>
      </c>
      <c r="E17" s="75"/>
      <c r="F17" s="221" t="s">
        <v>9</v>
      </c>
    </row>
    <row r="18" spans="1:7">
      <c r="A18" s="25"/>
      <c r="B18" s="69"/>
      <c r="C18" s="74"/>
      <c r="D18" s="198">
        <f>SUM(D12,D17,D16,D15,D14,D13)</f>
        <v>931609.57106569724</v>
      </c>
      <c r="E18" s="75"/>
    </row>
    <row r="19" spans="1:7" ht="15.6">
      <c r="A19" s="76" t="s">
        <v>51</v>
      </c>
      <c r="B19" s="221" t="s">
        <v>9</v>
      </c>
      <c r="C19" s="74"/>
      <c r="D19" s="75"/>
      <c r="E19" s="75"/>
    </row>
    <row r="20" spans="1:7" ht="49.15" customHeight="1">
      <c r="A20" s="77" t="s">
        <v>52</v>
      </c>
      <c r="B20" s="171">
        <v>3203046.89</v>
      </c>
      <c r="C20" s="221" t="s">
        <v>9</v>
      </c>
      <c r="D20" s="141">
        <f>SUM(E6-D18)</f>
        <v>2568390.4289343026</v>
      </c>
      <c r="E20" s="75"/>
      <c r="F20" s="221" t="s">
        <v>9</v>
      </c>
      <c r="G20" s="221" t="s">
        <v>9</v>
      </c>
    </row>
    <row r="21" spans="1:7" ht="27" thickBot="1">
      <c r="A21" s="196" t="s">
        <v>53</v>
      </c>
      <c r="B21" s="172">
        <f>SUM(B20*16.5%/365*_xlfn.DAYS("17 march 2023","5 september 2022"))</f>
        <v>279454.87181383563</v>
      </c>
      <c r="C21" s="221" t="s">
        <v>9</v>
      </c>
      <c r="D21" s="75"/>
      <c r="E21" s="75"/>
    </row>
    <row r="22" spans="1:7" ht="15.6">
      <c r="A22" s="43"/>
      <c r="B22" s="197">
        <f>SUM(B20:B21)</f>
        <v>3482501.7618138357</v>
      </c>
      <c r="C22" s="221" t="s">
        <v>9</v>
      </c>
      <c r="D22" s="75"/>
      <c r="E22" s="75"/>
    </row>
    <row r="23" spans="1:7">
      <c r="A23" s="43"/>
      <c r="B23" s="81"/>
      <c r="C23" s="74"/>
      <c r="D23" s="75"/>
      <c r="E23" s="75"/>
    </row>
    <row r="24" spans="1:7" ht="27">
      <c r="A24" s="77" t="s">
        <v>54</v>
      </c>
      <c r="B24" s="174">
        <f>SUM(B22-D20)</f>
        <v>914111.33287953306</v>
      </c>
      <c r="C24" s="74"/>
      <c r="D24" s="75"/>
      <c r="E24" s="83"/>
    </row>
    <row r="25" spans="1:7" ht="15.6">
      <c r="A25" s="221" t="s">
        <v>9</v>
      </c>
      <c r="B25" s="221" t="s">
        <v>9</v>
      </c>
      <c r="C25" s="221" t="s">
        <v>9</v>
      </c>
      <c r="D25" s="75"/>
      <c r="E25" s="75"/>
    </row>
    <row r="26" spans="1:7">
      <c r="A26" s="25"/>
      <c r="B26" s="84"/>
      <c r="C26" s="74"/>
      <c r="D26" s="75"/>
      <c r="E26" s="85"/>
    </row>
    <row r="27" spans="1:7">
      <c r="A27" s="23"/>
      <c r="B27" s="86" t="s">
        <v>12</v>
      </c>
      <c r="C27" s="87"/>
      <c r="D27" s="128">
        <f>SUM(D18,D20)</f>
        <v>3500000</v>
      </c>
      <c r="E27" s="128">
        <f>E6</f>
        <v>3500000</v>
      </c>
    </row>
  </sheetData>
  <mergeCells count="1">
    <mergeCell ref="A1:E1"/>
  </mergeCells>
  <pageMargins left="0.6333333333333333" right="0.6" top="0.75" bottom="0.75" header="0.3" footer="0.3"/>
  <pageSetup paperSize="9" orientation="portrait" r:id="rId1"/>
  <headerFooter>
    <oddHeader>&amp;L&amp;"-,Bold"&amp;UENCUMBERED ASSET ACCOUNT NUMBER 2</oddHeader>
    <oddFooter>&amp;L&amp;"Avenir Next Regular,Regular"&amp;K000000202223-1073.Paper2Summative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6E8AC-3876-4FD9-B0A3-CF28A44F0661}">
  <dimension ref="A1:K24"/>
  <sheetViews>
    <sheetView zoomScaleNormal="100" zoomScalePageLayoutView="190" workbookViewId="0">
      <selection activeCell="I9" sqref="I9"/>
    </sheetView>
  </sheetViews>
  <sheetFormatPr defaultColWidth="8.7109375" defaultRowHeight="14.45"/>
  <cols>
    <col min="1" max="1" width="31" customWidth="1"/>
    <col min="2" max="2" width="13.7109375" bestFit="1" customWidth="1"/>
    <col min="3" max="3" width="15.7109375" customWidth="1"/>
    <col min="4" max="4" width="13.7109375" bestFit="1" customWidth="1"/>
    <col min="5" max="5" width="13.7109375" customWidth="1"/>
    <col min="6" max="7" width="11.140625" bestFit="1" customWidth="1"/>
  </cols>
  <sheetData>
    <row r="1" spans="1:11" ht="33" customHeight="1">
      <c r="A1" s="225" t="s">
        <v>55</v>
      </c>
      <c r="B1" s="226"/>
      <c r="C1" s="226"/>
      <c r="D1" s="226"/>
      <c r="E1" s="226"/>
      <c r="G1" s="221" t="s">
        <v>9</v>
      </c>
      <c r="H1" s="221" t="s">
        <v>9</v>
      </c>
      <c r="K1" s="223">
        <v>10</v>
      </c>
    </row>
    <row r="2" spans="1:11">
      <c r="A2" s="65" t="s">
        <v>29</v>
      </c>
      <c r="B2" s="66"/>
      <c r="C2" s="67" t="s">
        <v>30</v>
      </c>
      <c r="D2" s="68" t="s">
        <v>31</v>
      </c>
      <c r="E2" s="68" t="s">
        <v>32</v>
      </c>
    </row>
    <row r="3" spans="1:11">
      <c r="A3" s="25"/>
      <c r="B3" s="69"/>
      <c r="C3" s="25"/>
      <c r="D3" s="97"/>
      <c r="E3" s="41"/>
    </row>
    <row r="4" spans="1:11" ht="15.6">
      <c r="A4" s="24" t="s">
        <v>33</v>
      </c>
      <c r="B4" s="69"/>
      <c r="C4" s="221" t="s">
        <v>9</v>
      </c>
      <c r="D4" s="97"/>
      <c r="E4" s="41"/>
    </row>
    <row r="5" spans="1:11" ht="53.45">
      <c r="A5" s="101" t="s">
        <v>56</v>
      </c>
      <c r="B5" s="69"/>
      <c r="C5" s="177">
        <f>SUM(Table2[[#This Row],[Column7]]*0.15/1.15)</f>
        <v>150000</v>
      </c>
      <c r="D5" s="130"/>
      <c r="E5" s="142">
        <f>Schedules!C8</f>
        <v>1150000</v>
      </c>
    </row>
    <row r="6" spans="1:11">
      <c r="A6" s="43"/>
      <c r="B6" s="73"/>
      <c r="C6" s="166"/>
      <c r="D6" s="122"/>
      <c r="E6" s="122"/>
    </row>
    <row r="7" spans="1:11">
      <c r="A7" s="76" t="s">
        <v>35</v>
      </c>
      <c r="B7" s="69"/>
      <c r="C7" s="166"/>
      <c r="D7" s="122"/>
      <c r="E7" s="122"/>
    </row>
    <row r="8" spans="1:11">
      <c r="A8" s="26"/>
      <c r="B8" s="69"/>
      <c r="C8" s="166"/>
      <c r="D8" s="120"/>
      <c r="E8" s="121"/>
    </row>
    <row r="9" spans="1:11" ht="26.45">
      <c r="A9" s="43" t="s">
        <v>36</v>
      </c>
      <c r="B9" s="69"/>
      <c r="C9" s="221" t="s">
        <v>9</v>
      </c>
      <c r="D9" s="141">
        <f>Schedules!D8</f>
        <v>22218.122550251763</v>
      </c>
      <c r="E9" s="221" t="s">
        <v>9</v>
      </c>
    </row>
    <row r="10" spans="1:11" ht="39.6">
      <c r="A10" s="43" t="s">
        <v>37</v>
      </c>
      <c r="B10" s="221" t="s">
        <v>9</v>
      </c>
      <c r="C10" s="178">
        <f>SUM(Table2[[#This Row],[Column6]]*0.15)/1.15</f>
        <v>547.98847712873919</v>
      </c>
      <c r="D10" s="141">
        <f>Schedules!E8</f>
        <v>4201.2449913203336</v>
      </c>
      <c r="E10" s="221" t="s">
        <v>9</v>
      </c>
    </row>
    <row r="11" spans="1:11" ht="15.6">
      <c r="A11" s="58" t="s">
        <v>57</v>
      </c>
      <c r="B11" s="221" t="s">
        <v>9</v>
      </c>
      <c r="C11" s="178">
        <f>SUM(Table2[[#This Row],[Column6]]*0.15)/1.15</f>
        <v>16912.5</v>
      </c>
      <c r="D11" s="168">
        <f>Schedules!E29</f>
        <v>129662.5</v>
      </c>
      <c r="E11" s="221" t="s">
        <v>9</v>
      </c>
    </row>
    <row r="12" spans="1:11" ht="16.149999999999999" thickBot="1">
      <c r="A12" s="77" t="s">
        <v>41</v>
      </c>
      <c r="B12" s="78"/>
      <c r="C12" s="123"/>
      <c r="D12" s="169">
        <f>C5-SUM(C10,C11)</f>
        <v>132539.51152287127</v>
      </c>
      <c r="E12" s="221" t="s">
        <v>9</v>
      </c>
    </row>
    <row r="13" spans="1:11">
      <c r="A13" s="25"/>
      <c r="B13" s="25"/>
      <c r="C13" s="124"/>
      <c r="D13" s="170">
        <f>SUM(D12,D11,D10,D9)</f>
        <v>288621.3790644434</v>
      </c>
      <c r="E13" s="122"/>
    </row>
    <row r="14" spans="1:11">
      <c r="A14" s="25"/>
      <c r="B14" s="69"/>
      <c r="C14" s="121"/>
      <c r="D14" s="122"/>
      <c r="E14" s="122"/>
    </row>
    <row r="15" spans="1:11" ht="15.6">
      <c r="A15" s="76" t="s">
        <v>42</v>
      </c>
      <c r="B15" s="221" t="s">
        <v>9</v>
      </c>
      <c r="C15" s="121"/>
      <c r="D15" s="122"/>
      <c r="E15" s="122"/>
    </row>
    <row r="16" spans="1:11" ht="49.9" customHeight="1">
      <c r="A16" s="77" t="s">
        <v>58</v>
      </c>
      <c r="B16" s="171">
        <v>1261052.55</v>
      </c>
      <c r="C16" s="221" t="s">
        <v>9</v>
      </c>
      <c r="D16" s="141">
        <f>SUM(E5-D13)</f>
        <v>861378.6209355566</v>
      </c>
      <c r="E16" s="122"/>
      <c r="F16" s="221" t="s">
        <v>9</v>
      </c>
      <c r="G16" s="221" t="s">
        <v>9</v>
      </c>
    </row>
    <row r="17" spans="1:5" ht="51" customHeight="1" thickBot="1">
      <c r="A17" s="196" t="s">
        <v>59</v>
      </c>
      <c r="B17" s="172">
        <f>SUM(B16*18.75%/365*_xlfn.DAYS("17 march 2023","5 september 2022"))</f>
        <v>125025.58672089042</v>
      </c>
      <c r="C17" s="221" t="s">
        <v>9</v>
      </c>
      <c r="D17" s="221" t="s">
        <v>9</v>
      </c>
      <c r="E17" s="122"/>
    </row>
    <row r="18" spans="1:5">
      <c r="A18" s="43"/>
      <c r="B18" s="173">
        <f>SUM(B16:B17)</f>
        <v>1386078.1367208904</v>
      </c>
      <c r="C18" s="121"/>
      <c r="D18" s="122"/>
      <c r="E18" s="122"/>
    </row>
    <row r="19" spans="1:5">
      <c r="A19" s="80"/>
      <c r="B19" s="81"/>
      <c r="C19" s="121"/>
      <c r="D19" s="122"/>
      <c r="E19" s="122"/>
    </row>
    <row r="20" spans="1:5">
      <c r="A20" s="80"/>
      <c r="B20" s="81"/>
      <c r="C20" s="121"/>
      <c r="D20" s="122"/>
      <c r="E20" s="122"/>
    </row>
    <row r="21" spans="1:5" ht="27">
      <c r="A21" s="77" t="s">
        <v>54</v>
      </c>
      <c r="B21" s="174">
        <f>SUM(B18-D16)</f>
        <v>524699.51578533382</v>
      </c>
      <c r="C21" s="121"/>
      <c r="D21" s="122"/>
      <c r="E21" s="125"/>
    </row>
    <row r="22" spans="1:5" ht="15.6">
      <c r="A22" s="221" t="s">
        <v>9</v>
      </c>
      <c r="B22" s="82"/>
      <c r="C22" s="121"/>
      <c r="D22" s="122"/>
      <c r="E22" s="122"/>
    </row>
    <row r="23" spans="1:5" ht="15.6">
      <c r="A23" s="221" t="s">
        <v>9</v>
      </c>
      <c r="B23" s="221" t="s">
        <v>9</v>
      </c>
      <c r="C23" s="121"/>
      <c r="D23" s="122"/>
      <c r="E23" s="126"/>
    </row>
    <row r="24" spans="1:5">
      <c r="A24" s="23"/>
      <c r="B24" s="86" t="s">
        <v>12</v>
      </c>
      <c r="C24" s="127"/>
      <c r="D24" s="176">
        <f>SUM(D13,D16)</f>
        <v>1150000</v>
      </c>
      <c r="E24" s="176">
        <f>E5</f>
        <v>1150000</v>
      </c>
    </row>
  </sheetData>
  <mergeCells count="1">
    <mergeCell ref="A1:E1"/>
  </mergeCells>
  <phoneticPr fontId="8" type="noConversion"/>
  <pageMargins left="0.7" right="0.51900584795321636" top="0.75" bottom="0.75" header="0.3" footer="0.3"/>
  <pageSetup paperSize="9" orientation="portrait" r:id="rId1"/>
  <headerFooter>
    <oddHeader>&amp;L&amp;"System Font,Bold"&amp;10&amp;U&amp;K000000ENCUMBERED ASSET ACCOUNT NUMBER 3</oddHeader>
    <oddFooter>&amp;L&amp;"Avenir Next Regular,Regular"&amp;K000000202223-1073.Paper2Summative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9F3D-EFCF-41D7-BFC5-9BB73BB0594A}">
  <dimension ref="A1:I41"/>
  <sheetViews>
    <sheetView zoomScaleNormal="100" zoomScalePageLayoutView="170" workbookViewId="0">
      <selection activeCell="G2" sqref="G2"/>
    </sheetView>
  </sheetViews>
  <sheetFormatPr defaultColWidth="8.7109375" defaultRowHeight="14.45"/>
  <cols>
    <col min="1" max="1" width="31" customWidth="1"/>
    <col min="2" max="2" width="14.7109375" customWidth="1"/>
    <col min="3" max="3" width="15.28515625" customWidth="1"/>
    <col min="4" max="4" width="13.7109375" bestFit="1" customWidth="1"/>
    <col min="5" max="5" width="14.28515625" bestFit="1" customWidth="1"/>
    <col min="6" max="6" width="11.140625" bestFit="1" customWidth="1"/>
    <col min="7" max="7" width="10.140625" bestFit="1" customWidth="1"/>
  </cols>
  <sheetData>
    <row r="1" spans="1:9">
      <c r="A1" s="88"/>
      <c r="B1" s="88"/>
      <c r="C1" s="88"/>
      <c r="D1" s="89"/>
      <c r="E1" s="103"/>
    </row>
    <row r="2" spans="1:9" ht="15.6">
      <c r="A2" s="90" t="s">
        <v>29</v>
      </c>
      <c r="B2" s="90"/>
      <c r="C2" s="91" t="s">
        <v>30</v>
      </c>
      <c r="D2" s="92" t="s">
        <v>31</v>
      </c>
      <c r="E2" s="104" t="s">
        <v>32</v>
      </c>
      <c r="G2" s="221" t="s">
        <v>9</v>
      </c>
      <c r="I2" s="223">
        <v>21.5</v>
      </c>
    </row>
    <row r="3" spans="1:9">
      <c r="A3" s="33"/>
      <c r="B3" s="33"/>
      <c r="C3" s="33"/>
      <c r="D3" s="99"/>
      <c r="E3" s="105"/>
    </row>
    <row r="4" spans="1:9">
      <c r="A4" s="30" t="s">
        <v>60</v>
      </c>
      <c r="B4" s="30"/>
      <c r="C4" s="93"/>
      <c r="D4" s="94"/>
      <c r="E4" s="106"/>
    </row>
    <row r="5" spans="1:9" ht="69.599999999999994">
      <c r="A5" s="96" t="s">
        <v>61</v>
      </c>
      <c r="B5" s="30"/>
      <c r="C5" s="135">
        <f>SUM(Table3[[#This Row],[Column7]]/1.15*0.15)</f>
        <v>30116.621739130438</v>
      </c>
      <c r="D5" s="221" t="s">
        <v>9</v>
      </c>
      <c r="E5" s="136">
        <v>230894.1</v>
      </c>
    </row>
    <row r="6" spans="1:9" ht="88.9" customHeight="1">
      <c r="A6" s="53" t="s">
        <v>62</v>
      </c>
      <c r="B6" s="49"/>
      <c r="C6" s="135">
        <f>SUM(Table3[[#This Row],[Column7]]/1.15*0.15)</f>
        <v>5700</v>
      </c>
      <c r="D6" s="221" t="s">
        <v>9</v>
      </c>
      <c r="E6" s="136">
        <v>43700</v>
      </c>
    </row>
    <row r="7" spans="1:9" ht="79.150000000000006" customHeight="1">
      <c r="A7" s="53" t="s">
        <v>63</v>
      </c>
      <c r="B7" s="49"/>
      <c r="C7" s="135">
        <f>SUM(Table3[[#This Row],[Column7]]/1.15)*0.15</f>
        <v>15766.533913043477</v>
      </c>
      <c r="D7" s="106"/>
      <c r="E7" s="136">
        <v>120876.76</v>
      </c>
    </row>
    <row r="8" spans="1:9" ht="41.45">
      <c r="A8" s="53" t="s">
        <v>64</v>
      </c>
      <c r="B8" s="49"/>
      <c r="C8" s="221" t="s">
        <v>9</v>
      </c>
      <c r="D8" s="106"/>
      <c r="E8" s="136">
        <v>88405.08</v>
      </c>
    </row>
    <row r="9" spans="1:9">
      <c r="A9" s="49"/>
      <c r="B9" s="49"/>
      <c r="C9" s="106"/>
      <c r="D9" s="106"/>
      <c r="E9" s="107"/>
    </row>
    <row r="10" spans="1:9">
      <c r="A10" s="31" t="s">
        <v>65</v>
      </c>
      <c r="B10" s="31"/>
      <c r="C10" s="106"/>
      <c r="D10" s="106"/>
      <c r="E10" s="106"/>
    </row>
    <row r="11" spans="1:9" ht="27.6">
      <c r="A11" s="54" t="s">
        <v>66</v>
      </c>
      <c r="B11" s="54"/>
      <c r="C11" s="221" t="s">
        <v>9</v>
      </c>
      <c r="D11" s="136">
        <f>Schedules!D9</f>
        <v>9348.534725250669</v>
      </c>
      <c r="E11" s="221" t="s">
        <v>9</v>
      </c>
    </row>
    <row r="12" spans="1:9" ht="41.45">
      <c r="A12" s="54" t="s">
        <v>37</v>
      </c>
      <c r="B12" s="221" t="s">
        <v>9</v>
      </c>
      <c r="C12" s="137">
        <f>SUM(Table3[[#This Row],[Column6]]/1.15)*0.15</f>
        <v>230.57255606942363</v>
      </c>
      <c r="D12" s="136">
        <f>Schedules!E9</f>
        <v>1767.7229298655809</v>
      </c>
      <c r="E12" s="221" t="s">
        <v>9</v>
      </c>
    </row>
    <row r="13" spans="1:9" ht="15.6">
      <c r="A13" s="35" t="s">
        <v>57</v>
      </c>
      <c r="B13" s="221" t="s">
        <v>9</v>
      </c>
      <c r="C13" s="137">
        <f>SUM(Table3[[#This Row],[Column6]]/1.15)*0.15</f>
        <v>7142.0769997826092</v>
      </c>
      <c r="D13" s="136">
        <f>Schedules!F29</f>
        <v>54755.923665000002</v>
      </c>
      <c r="E13" s="221" t="s">
        <v>9</v>
      </c>
    </row>
    <row r="14" spans="1:9" ht="27.6">
      <c r="A14" s="54" t="s">
        <v>67</v>
      </c>
      <c r="B14" s="221" t="s">
        <v>9</v>
      </c>
      <c r="C14" s="137">
        <f>SUM(Table3[[#This Row],[Column6]]/1.15)*0.15</f>
        <v>2430.251739130435</v>
      </c>
      <c r="D14" s="136">
        <v>18631.93</v>
      </c>
      <c r="E14" s="221" t="s">
        <v>9</v>
      </c>
    </row>
    <row r="15" spans="1:9" ht="15.6">
      <c r="A15" s="35" t="s">
        <v>68</v>
      </c>
      <c r="B15" s="221" t="s">
        <v>9</v>
      </c>
      <c r="C15" s="137">
        <f>SUM(Table3[[#This Row],[Column6]]/1.15)*0.15</f>
        <v>134.34782608695653</v>
      </c>
      <c r="D15" s="136">
        <v>1030</v>
      </c>
      <c r="E15" s="221" t="s">
        <v>9</v>
      </c>
    </row>
    <row r="16" spans="1:9">
      <c r="A16" s="110" t="s">
        <v>69</v>
      </c>
      <c r="B16" s="110"/>
      <c r="C16" s="137"/>
      <c r="D16" s="136"/>
      <c r="E16" s="109"/>
    </row>
    <row r="17" spans="1:7" ht="15.6">
      <c r="A17" s="149" t="s">
        <v>70</v>
      </c>
      <c r="B17" s="221" t="s">
        <v>9</v>
      </c>
      <c r="C17" s="137">
        <f>SUM(Table3[[#This Row],[Column6]]/1.15)*0.15</f>
        <v>120.00000000000001</v>
      </c>
      <c r="D17" s="136">
        <v>920</v>
      </c>
      <c r="E17" s="221" t="s">
        <v>9</v>
      </c>
    </row>
    <row r="18" spans="1:7" ht="15.6">
      <c r="A18" s="149" t="s">
        <v>71</v>
      </c>
      <c r="B18" s="221" t="s">
        <v>9</v>
      </c>
      <c r="C18" s="137">
        <f>SUM(Table3[[#This Row],[Column6]]/1.15)*0.15</f>
        <v>4.9330434782608696</v>
      </c>
      <c r="D18" s="136">
        <v>37.82</v>
      </c>
      <c r="E18" s="221" t="s">
        <v>9</v>
      </c>
    </row>
    <row r="19" spans="1:7" ht="15.6">
      <c r="A19" s="149" t="s">
        <v>72</v>
      </c>
      <c r="B19" s="221" t="s">
        <v>9</v>
      </c>
      <c r="C19" s="137">
        <f>SUM(Table3[[#This Row],[Column6]]/1.15)*0.15</f>
        <v>4.9330434782608696</v>
      </c>
      <c r="D19" s="136">
        <v>37.82</v>
      </c>
      <c r="E19" s="221" t="s">
        <v>9</v>
      </c>
    </row>
    <row r="20" spans="1:7" ht="15.6">
      <c r="A20" s="149" t="s">
        <v>73</v>
      </c>
      <c r="B20" s="221" t="s">
        <v>9</v>
      </c>
      <c r="C20" s="137">
        <f>SUM(Table3[[#This Row],[Column6]]/1.15)*0.15</f>
        <v>4.9330434782608696</v>
      </c>
      <c r="D20" s="136">
        <v>37.82</v>
      </c>
      <c r="E20" s="221" t="s">
        <v>9</v>
      </c>
    </row>
    <row r="21" spans="1:7" ht="41.45">
      <c r="A21" s="54" t="s">
        <v>74</v>
      </c>
      <c r="B21" s="221" t="s">
        <v>9</v>
      </c>
      <c r="C21" s="137">
        <f>SUM(Table3[[#This Row],[Column6]]/1.15)*0.15</f>
        <v>901.83913043478265</v>
      </c>
      <c r="D21" s="136">
        <v>6914.1</v>
      </c>
      <c r="E21" s="221" t="s">
        <v>9</v>
      </c>
    </row>
    <row r="22" spans="1:7" ht="27.6">
      <c r="A22" s="54" t="s">
        <v>75</v>
      </c>
      <c r="B22" s="35"/>
      <c r="C22" s="137">
        <f>SUM(Table3[[#This Row],[Column6]]/1.15)*0.15</f>
        <v>52.173913043478258</v>
      </c>
      <c r="D22" s="136">
        <v>400</v>
      </c>
      <c r="E22" s="221" t="s">
        <v>9</v>
      </c>
      <c r="F22" s="221" t="s">
        <v>9</v>
      </c>
    </row>
    <row r="23" spans="1:7" ht="41.45">
      <c r="A23" s="54" t="s">
        <v>76</v>
      </c>
      <c r="B23" s="35"/>
      <c r="C23" s="108"/>
      <c r="D23" s="136">
        <v>15000</v>
      </c>
      <c r="E23" s="106"/>
    </row>
    <row r="24" spans="1:7" ht="55.15">
      <c r="A24" s="54" t="s">
        <v>48</v>
      </c>
      <c r="B24" s="221" t="s">
        <v>9</v>
      </c>
      <c r="C24" s="137">
        <f>SUM(Table3[[#This Row],[Column6]]/1.15)*0.15</f>
        <v>333.23217391304348</v>
      </c>
      <c r="D24" s="136">
        <f>Schedules!F9</f>
        <v>2554.7800000000002</v>
      </c>
      <c r="E24" s="221" t="s">
        <v>9</v>
      </c>
    </row>
    <row r="25" spans="1:7">
      <c r="A25" s="54"/>
      <c r="B25" s="35"/>
      <c r="C25" s="137"/>
      <c r="D25" s="136"/>
      <c r="E25" s="106"/>
    </row>
    <row r="26" spans="1:7" ht="15" thickBot="1">
      <c r="A26" s="35" t="s">
        <v>41</v>
      </c>
      <c r="B26" s="35"/>
      <c r="C26" s="107"/>
      <c r="D26" s="156">
        <f>SUM(C5,C6,C7)-11359.29</f>
        <v>40223.86565217391</v>
      </c>
      <c r="E26" s="109"/>
    </row>
    <row r="27" spans="1:7">
      <c r="A27" s="138" t="s">
        <v>77</v>
      </c>
      <c r="B27" s="33"/>
      <c r="C27" s="111"/>
      <c r="D27" s="157">
        <f>SUM(D26,D23,D22,D21,D20,D19,D18,D17,D15,D14,D13,D12,D11,D24)</f>
        <v>151660.31697229017</v>
      </c>
      <c r="E27" s="109"/>
    </row>
    <row r="28" spans="1:7" ht="19.899999999999999" customHeight="1">
      <c r="A28" s="138"/>
      <c r="B28" s="33"/>
      <c r="C28" s="107"/>
      <c r="D28" s="107"/>
      <c r="E28" s="106"/>
    </row>
    <row r="29" spans="1:7">
      <c r="A29" s="95" t="s">
        <v>51</v>
      </c>
      <c r="B29" s="95"/>
      <c r="C29" s="106"/>
      <c r="D29" s="106"/>
      <c r="E29" s="106"/>
    </row>
    <row r="30" spans="1:7">
      <c r="A30" s="33" t="s">
        <v>78</v>
      </c>
      <c r="B30" s="33"/>
      <c r="C30" s="106"/>
      <c r="D30" s="106"/>
      <c r="E30" s="106"/>
    </row>
    <row r="31" spans="1:7" ht="15.6">
      <c r="A31" s="100" t="s">
        <v>79</v>
      </c>
      <c r="B31" s="221" t="s">
        <v>9</v>
      </c>
      <c r="C31" s="106"/>
      <c r="D31" s="134">
        <v>16000</v>
      </c>
      <c r="E31" s="106"/>
      <c r="F31" s="221" t="s">
        <v>9</v>
      </c>
      <c r="G31" s="221" t="s">
        <v>9</v>
      </c>
    </row>
    <row r="32" spans="1:7" ht="15.6">
      <c r="A32" s="159" t="s">
        <v>80</v>
      </c>
      <c r="B32" s="135">
        <v>12000</v>
      </c>
      <c r="C32" s="221" t="s">
        <v>9</v>
      </c>
      <c r="D32" s="106"/>
      <c r="E32" s="106"/>
    </row>
    <row r="33" spans="1:7" ht="15.6">
      <c r="A33" s="159" t="s">
        <v>81</v>
      </c>
      <c r="B33" s="135">
        <v>4000</v>
      </c>
      <c r="C33" s="221" t="s">
        <v>9</v>
      </c>
      <c r="D33" s="106"/>
      <c r="E33" s="106"/>
    </row>
    <row r="34" spans="1:7" ht="15.6">
      <c r="A34" s="100" t="s">
        <v>82</v>
      </c>
      <c r="B34" s="221" t="s">
        <v>9</v>
      </c>
      <c r="C34" s="106"/>
      <c r="D34" s="106"/>
      <c r="E34" s="106"/>
    </row>
    <row r="35" spans="1:7" ht="15.6">
      <c r="A35" s="25" t="s">
        <v>80</v>
      </c>
      <c r="B35" s="221" t="s">
        <v>9</v>
      </c>
      <c r="C35" s="106"/>
      <c r="D35" s="136">
        <v>9000</v>
      </c>
      <c r="E35" s="106"/>
      <c r="F35" s="221" t="s">
        <v>9</v>
      </c>
      <c r="G35" s="221" t="s">
        <v>9</v>
      </c>
    </row>
    <row r="36" spans="1:7" ht="15.6">
      <c r="A36" s="100" t="s">
        <v>83</v>
      </c>
      <c r="B36" s="33"/>
      <c r="C36" s="106"/>
      <c r="D36" s="136">
        <f>SUM(B37,B38)</f>
        <v>137186.64000000001</v>
      </c>
      <c r="E36" s="106"/>
      <c r="F36" s="221" t="s">
        <v>9</v>
      </c>
      <c r="G36" s="221" t="s">
        <v>9</v>
      </c>
    </row>
    <row r="37" spans="1:7" ht="15.6">
      <c r="A37" s="159" t="s">
        <v>84</v>
      </c>
      <c r="B37" s="135">
        <v>119345.02</v>
      </c>
      <c r="C37" s="221" t="s">
        <v>9</v>
      </c>
      <c r="D37" s="106"/>
      <c r="E37" s="106"/>
      <c r="F37" s="221" t="s">
        <v>9</v>
      </c>
      <c r="G37" s="221" t="s">
        <v>9</v>
      </c>
    </row>
    <row r="38" spans="1:7" ht="15.6">
      <c r="A38" s="159" t="s">
        <v>30</v>
      </c>
      <c r="B38" s="135">
        <v>17841.62</v>
      </c>
      <c r="C38" s="221" t="s">
        <v>9</v>
      </c>
      <c r="D38" s="106"/>
      <c r="E38" s="106"/>
    </row>
    <row r="39" spans="1:7">
      <c r="A39" s="113" t="s">
        <v>85</v>
      </c>
      <c r="B39" s="79"/>
      <c r="C39" s="106"/>
      <c r="D39" s="112"/>
      <c r="E39" s="106"/>
    </row>
    <row r="40" spans="1:7">
      <c r="A40" s="33" t="s">
        <v>86</v>
      </c>
      <c r="B40" s="79"/>
      <c r="C40" s="106"/>
      <c r="D40" s="136">
        <f>SUM(E5,E6,E7,E8)-SUM(D27,D31,D35,D36)</f>
        <v>170028.98302770982</v>
      </c>
      <c r="E40" s="106"/>
    </row>
    <row r="41" spans="1:7">
      <c r="A41" s="114" t="s">
        <v>12</v>
      </c>
      <c r="B41" s="114"/>
      <c r="C41" s="115"/>
      <c r="D41" s="160">
        <f>SUM(D27,D31,D35,D36,D39,D40)</f>
        <v>483875.94</v>
      </c>
      <c r="E41" s="160">
        <f>SUM(E5,E6,E7,E8)</f>
        <v>483875.94</v>
      </c>
    </row>
  </sheetData>
  <pageMargins left="0.7" right="0.7" top="0.75" bottom="0.75" header="0.3" footer="0.3"/>
  <pageSetup paperSize="9" orientation="portrait" r:id="rId1"/>
  <headerFooter>
    <oddHeader>&amp;L&amp;"System Font,Bold"&amp;10&amp;U&amp;K000000Free Resiude</oddHeader>
    <oddFooter>&amp;L&amp;"Avenir Next Regular,Regular"&amp;K000000202223-1073.Paper2Summative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33B8-D3B7-4A83-B5C5-E6BF0A4A8EEB}">
  <dimension ref="A1:S20"/>
  <sheetViews>
    <sheetView zoomScaleNormal="100" zoomScalePageLayoutView="150" workbookViewId="0">
      <selection activeCell="P2" sqref="P2"/>
    </sheetView>
  </sheetViews>
  <sheetFormatPr defaultColWidth="8.7109375" defaultRowHeight="14.45"/>
  <cols>
    <col min="1" max="1" width="4.7109375" customWidth="1"/>
    <col min="3" max="3" width="8" customWidth="1"/>
    <col min="4" max="4" width="15.140625" style="148" customWidth="1"/>
    <col min="5" max="5" width="9.28515625" bestFit="1" customWidth="1"/>
    <col min="6" max="6" width="9.140625" customWidth="1"/>
    <col min="8" max="8" width="4.28515625" customWidth="1"/>
    <col min="10" max="10" width="6.7109375" customWidth="1"/>
    <col min="11" max="11" width="1.7109375" customWidth="1"/>
    <col min="12" max="12" width="14.7109375" bestFit="1" customWidth="1"/>
    <col min="13" max="13" width="1.42578125" customWidth="1"/>
    <col min="14" max="14" width="12.7109375" customWidth="1"/>
  </cols>
  <sheetData>
    <row r="1" spans="1:19" ht="37.9" customHeight="1">
      <c r="A1" s="219" t="s">
        <v>87</v>
      </c>
      <c r="B1" s="270" t="s">
        <v>88</v>
      </c>
      <c r="C1" s="270"/>
      <c r="D1" s="220" t="s">
        <v>89</v>
      </c>
      <c r="E1" s="270" t="s">
        <v>90</v>
      </c>
      <c r="F1" s="270"/>
      <c r="G1" s="270" t="s">
        <v>91</v>
      </c>
      <c r="H1" s="270"/>
      <c r="I1" s="269" t="s">
        <v>92</v>
      </c>
      <c r="J1" s="270"/>
      <c r="K1" s="269" t="s">
        <v>93</v>
      </c>
      <c r="L1" s="270"/>
      <c r="M1" s="269" t="s">
        <v>94</v>
      </c>
      <c r="N1" s="270"/>
      <c r="S1" s="223">
        <v>4.5</v>
      </c>
    </row>
    <row r="2" spans="1:19" ht="31.15" customHeight="1">
      <c r="A2" s="102">
        <v>1</v>
      </c>
      <c r="B2" s="249" t="s">
        <v>95</v>
      </c>
      <c r="C2" s="250"/>
      <c r="D2" s="145">
        <v>8946765.3200000003</v>
      </c>
      <c r="E2" s="231">
        <f>'EA 1 '!D20</f>
        <v>6946200.7178378832</v>
      </c>
      <c r="F2" s="232"/>
      <c r="G2" s="231">
        <v>0</v>
      </c>
      <c r="H2" s="232"/>
      <c r="I2" s="233">
        <v>0</v>
      </c>
      <c r="J2" s="234"/>
      <c r="K2" s="233">
        <f>E2</f>
        <v>6946200.7178378832</v>
      </c>
      <c r="L2" s="234"/>
      <c r="M2" s="233">
        <v>0</v>
      </c>
      <c r="N2" s="234"/>
      <c r="P2" s="221" t="s">
        <v>9</v>
      </c>
    </row>
    <row r="3" spans="1:19" ht="19.899999999999999" customHeight="1">
      <c r="A3" s="278">
        <v>2</v>
      </c>
      <c r="B3" s="252" t="s">
        <v>96</v>
      </c>
      <c r="C3" s="253"/>
      <c r="D3" s="140">
        <v>3203046.89</v>
      </c>
      <c r="E3" s="242">
        <f>'EA 2'!D20</f>
        <v>2568390.4289343026</v>
      </c>
      <c r="F3" s="243"/>
      <c r="G3" s="242">
        <v>0</v>
      </c>
      <c r="H3" s="243"/>
      <c r="I3" s="242">
        <f>SUM(D3:D4)-K3</f>
        <v>914111.33287953306</v>
      </c>
      <c r="J3" s="243"/>
      <c r="K3" s="242">
        <f>E3</f>
        <v>2568390.4289343026</v>
      </c>
      <c r="L3" s="243"/>
      <c r="M3" s="274">
        <f>SUM(I3/$I$18)*'Free Residue'!$D$40</f>
        <v>92907.235687791806</v>
      </c>
      <c r="N3" s="275"/>
      <c r="P3" s="221" t="s">
        <v>9</v>
      </c>
    </row>
    <row r="4" spans="1:19" ht="19.899999999999999" customHeight="1">
      <c r="A4" s="280"/>
      <c r="B4" s="254"/>
      <c r="C4" s="255"/>
      <c r="D4" s="140">
        <f>'EA 2'!B21</f>
        <v>279454.87181383563</v>
      </c>
      <c r="E4" s="244"/>
      <c r="F4" s="245"/>
      <c r="G4" s="244"/>
      <c r="H4" s="245"/>
      <c r="I4" s="244"/>
      <c r="J4" s="245"/>
      <c r="K4" s="244"/>
      <c r="L4" s="245"/>
      <c r="M4" s="276"/>
      <c r="N4" s="277"/>
    </row>
    <row r="5" spans="1:19" ht="31.9" customHeight="1">
      <c r="A5" s="102">
        <v>3</v>
      </c>
      <c r="B5" s="249" t="s">
        <v>97</v>
      </c>
      <c r="C5" s="250"/>
      <c r="D5" s="144">
        <v>17410.61</v>
      </c>
      <c r="E5" s="234">
        <v>0</v>
      </c>
      <c r="F5" s="235"/>
      <c r="G5" s="251">
        <v>0</v>
      </c>
      <c r="H5" s="251"/>
      <c r="I5" s="235">
        <f>D5</f>
        <v>17410.61</v>
      </c>
      <c r="J5" s="235"/>
      <c r="K5" s="235">
        <v>0</v>
      </c>
      <c r="L5" s="235"/>
      <c r="M5" s="233">
        <f>SUM(I5/I18)*'Free Residue'!D40</f>
        <v>1769.5564955340049</v>
      </c>
      <c r="N5" s="234"/>
    </row>
    <row r="6" spans="1:19" ht="15" customHeight="1">
      <c r="A6" s="278">
        <v>3</v>
      </c>
      <c r="B6" s="256" t="s">
        <v>98</v>
      </c>
      <c r="C6" s="257"/>
      <c r="D6" s="247">
        <v>1261052.55</v>
      </c>
      <c r="E6" s="242">
        <f>'EA 3'!D16</f>
        <v>861378.6209355566</v>
      </c>
      <c r="F6" s="243"/>
      <c r="G6" s="242">
        <v>0</v>
      </c>
      <c r="H6" s="243"/>
      <c r="I6" s="236">
        <f>SUM(D6,D8) - K6</f>
        <v>524699.51578533382</v>
      </c>
      <c r="J6" s="237"/>
      <c r="K6" s="236">
        <f>E6</f>
        <v>861378.6209355566</v>
      </c>
      <c r="L6" s="237"/>
      <c r="M6" s="236">
        <f>SUM(I6/I18)*'Free Residue'!D40</f>
        <v>53328.713718903848</v>
      </c>
      <c r="N6" s="237"/>
      <c r="P6" s="221" t="s">
        <v>9</v>
      </c>
    </row>
    <row r="7" spans="1:19" ht="1.9" customHeight="1">
      <c r="A7" s="279"/>
      <c r="B7" s="258"/>
      <c r="C7" s="259"/>
      <c r="D7" s="248"/>
      <c r="E7" s="281"/>
      <c r="F7" s="282"/>
      <c r="G7" s="281"/>
      <c r="H7" s="282"/>
      <c r="I7" s="238"/>
      <c r="J7" s="239"/>
      <c r="K7" s="238"/>
      <c r="L7" s="239"/>
      <c r="M7" s="238"/>
      <c r="N7" s="239"/>
    </row>
    <row r="8" spans="1:19" ht="16.899999999999999" customHeight="1">
      <c r="A8" s="280"/>
      <c r="B8" s="260"/>
      <c r="C8" s="261"/>
      <c r="D8" s="146">
        <f>'EA 3'!B17</f>
        <v>125025.58672089042</v>
      </c>
      <c r="E8" s="244"/>
      <c r="F8" s="245"/>
      <c r="G8" s="244"/>
      <c r="H8" s="245"/>
      <c r="I8" s="240"/>
      <c r="J8" s="241"/>
      <c r="K8" s="240"/>
      <c r="L8" s="241"/>
      <c r="M8" s="240"/>
      <c r="N8" s="241"/>
    </row>
    <row r="9" spans="1:19" ht="28.15" customHeight="1">
      <c r="A9" s="116">
        <v>4</v>
      </c>
      <c r="B9" s="249" t="s">
        <v>99</v>
      </c>
      <c r="C9" s="250"/>
      <c r="D9" s="144">
        <v>137186.64000000001</v>
      </c>
      <c r="E9" s="234">
        <v>0</v>
      </c>
      <c r="F9" s="235"/>
      <c r="G9" s="235">
        <f>D9</f>
        <v>137186.64000000001</v>
      </c>
      <c r="H9" s="235"/>
      <c r="I9" s="235">
        <f>SUM(D9-K9)</f>
        <v>0</v>
      </c>
      <c r="J9" s="235"/>
      <c r="K9" s="235">
        <f>G9</f>
        <v>137186.64000000001</v>
      </c>
      <c r="L9" s="235"/>
      <c r="M9" s="235">
        <v>0</v>
      </c>
      <c r="N9" s="235"/>
      <c r="P9" s="221" t="s">
        <v>9</v>
      </c>
    </row>
    <row r="10" spans="1:19" ht="30" customHeight="1">
      <c r="A10" s="116">
        <v>5</v>
      </c>
      <c r="B10" s="249" t="s">
        <v>100</v>
      </c>
      <c r="C10" s="250"/>
      <c r="D10" s="144">
        <v>3688.29</v>
      </c>
      <c r="E10" s="237">
        <v>0</v>
      </c>
      <c r="F10" s="262"/>
      <c r="G10" s="235">
        <v>0</v>
      </c>
      <c r="H10" s="235"/>
      <c r="I10" s="235">
        <f>D10</f>
        <v>3688.29</v>
      </c>
      <c r="J10" s="235"/>
      <c r="K10" s="235">
        <v>0</v>
      </c>
      <c r="L10" s="235"/>
      <c r="M10" s="235">
        <f>SUM(I10/I18)*'Free Residue'!D40</f>
        <v>374.86552894545997</v>
      </c>
      <c r="N10" s="235"/>
    </row>
    <row r="11" spans="1:19" ht="15.6">
      <c r="A11" s="116">
        <v>6</v>
      </c>
      <c r="B11" s="249" t="s">
        <v>101</v>
      </c>
      <c r="C11" s="246"/>
      <c r="D11" s="139">
        <v>54000</v>
      </c>
      <c r="E11" s="235">
        <v>0</v>
      </c>
      <c r="F11" s="235"/>
      <c r="G11" s="235">
        <f>'Free Residue'!D31</f>
        <v>16000</v>
      </c>
      <c r="H11" s="235"/>
      <c r="I11" s="235">
        <f>SUM(D11-K11)</f>
        <v>38000</v>
      </c>
      <c r="J11" s="235"/>
      <c r="K11" s="235">
        <f>G11</f>
        <v>16000</v>
      </c>
      <c r="L11" s="235"/>
      <c r="M11" s="235">
        <f>SUM(I11/I18)*'Free Residue'!D40</f>
        <v>3862.1936181611209</v>
      </c>
      <c r="N11" s="235"/>
      <c r="P11" s="221" t="s">
        <v>9</v>
      </c>
    </row>
    <row r="12" spans="1:19">
      <c r="A12" s="116">
        <v>7</v>
      </c>
      <c r="B12" s="246" t="s">
        <v>102</v>
      </c>
      <c r="C12" s="246"/>
      <c r="D12" s="139">
        <v>100000</v>
      </c>
      <c r="E12" s="235">
        <v>0</v>
      </c>
      <c r="F12" s="235"/>
      <c r="G12" s="235">
        <v>0</v>
      </c>
      <c r="H12" s="235"/>
      <c r="I12" s="235">
        <f>D12</f>
        <v>100000</v>
      </c>
      <c r="J12" s="235"/>
      <c r="K12" s="235">
        <v>0</v>
      </c>
      <c r="L12" s="235"/>
      <c r="M12" s="235">
        <f>SUM(I12/I18)*'Free Residue'!D40</f>
        <v>10163.667416213475</v>
      </c>
      <c r="N12" s="235"/>
    </row>
    <row r="13" spans="1:19">
      <c r="A13" s="116">
        <v>8</v>
      </c>
      <c r="B13" s="246" t="s">
        <v>103</v>
      </c>
      <c r="C13" s="246"/>
      <c r="D13" s="139">
        <v>72000</v>
      </c>
      <c r="E13" s="235">
        <v>0</v>
      </c>
      <c r="F13" s="235"/>
      <c r="G13" s="235">
        <v>0</v>
      </c>
      <c r="H13" s="235"/>
      <c r="I13" s="235">
        <f>D13</f>
        <v>72000</v>
      </c>
      <c r="J13" s="235"/>
      <c r="K13" s="235">
        <v>0</v>
      </c>
      <c r="L13" s="235"/>
      <c r="M13" s="235">
        <f>SUM(I13/I18)*'Free Residue'!$D$40</f>
        <v>7317.8405396737026</v>
      </c>
      <c r="N13" s="235"/>
    </row>
    <row r="14" spans="1:19" ht="15.6">
      <c r="A14" s="116">
        <v>9</v>
      </c>
      <c r="B14" s="246" t="s">
        <v>104</v>
      </c>
      <c r="C14" s="246"/>
      <c r="D14" s="139">
        <v>12000</v>
      </c>
      <c r="E14" s="235">
        <v>0</v>
      </c>
      <c r="F14" s="235"/>
      <c r="G14" s="235">
        <v>9000</v>
      </c>
      <c r="H14" s="235"/>
      <c r="I14" s="235">
        <v>3000</v>
      </c>
      <c r="J14" s="235"/>
      <c r="K14" s="235">
        <v>9000</v>
      </c>
      <c r="L14" s="235"/>
      <c r="M14" s="233">
        <f>SUM(I14/I18)*'Free Residue'!D40</f>
        <v>304.91002248640422</v>
      </c>
      <c r="N14" s="234"/>
      <c r="P14" s="221" t="s">
        <v>9</v>
      </c>
      <c r="Q14" s="221" t="s">
        <v>9</v>
      </c>
    </row>
    <row r="15" spans="1:19">
      <c r="A15" s="116"/>
      <c r="B15" s="227"/>
      <c r="C15" s="228"/>
      <c r="D15" s="147"/>
      <c r="E15" s="229"/>
      <c r="F15" s="230"/>
      <c r="G15" s="229"/>
      <c r="H15" s="230"/>
      <c r="I15" s="229"/>
      <c r="J15" s="230"/>
      <c r="K15" s="229"/>
      <c r="L15" s="230"/>
      <c r="M15" s="231"/>
      <c r="N15" s="232"/>
    </row>
    <row r="16" spans="1:19">
      <c r="A16" s="117"/>
      <c r="B16" s="271" t="s">
        <v>12</v>
      </c>
      <c r="C16" s="271"/>
      <c r="D16" s="206">
        <f>SUM(D2:D14)</f>
        <v>14211630.758534728</v>
      </c>
      <c r="E16" s="273"/>
      <c r="F16" s="273"/>
      <c r="G16" s="266"/>
      <c r="H16" s="266"/>
      <c r="I16" s="265"/>
      <c r="J16" s="265"/>
      <c r="K16" s="264"/>
      <c r="L16" s="264"/>
      <c r="M16" s="265"/>
      <c r="N16" s="265"/>
    </row>
    <row r="17" spans="1:14">
      <c r="A17" s="25"/>
      <c r="B17" s="272"/>
      <c r="C17" s="272"/>
      <c r="D17" s="58"/>
      <c r="E17" s="25"/>
      <c r="F17" s="25"/>
      <c r="G17" s="25"/>
      <c r="H17" s="25"/>
      <c r="I17" s="267"/>
      <c r="J17" s="267"/>
      <c r="K17" s="25"/>
      <c r="L17" s="25"/>
      <c r="M17" s="265"/>
      <c r="N17" s="265"/>
    </row>
    <row r="18" spans="1:14">
      <c r="A18" s="25"/>
      <c r="B18" s="263" t="s">
        <v>105</v>
      </c>
      <c r="C18" s="263"/>
      <c r="D18" s="263"/>
      <c r="E18" s="211">
        <f>SUM('Free Residue'!D40/'Dist Account'!I18)*100</f>
        <v>10.163667416213476</v>
      </c>
      <c r="F18" s="100" t="s">
        <v>106</v>
      </c>
      <c r="G18" s="100"/>
      <c r="H18" s="25"/>
      <c r="I18" s="264">
        <f>SUM(I2:J14)</f>
        <v>1672909.7486648669</v>
      </c>
      <c r="J18" s="264"/>
      <c r="K18" s="25"/>
      <c r="L18" s="25"/>
      <c r="M18" s="266">
        <f>SUM(M14,M13,M12,M11,M10,M9,M6,M5,M3,M2)</f>
        <v>170028.98302770982</v>
      </c>
      <c r="N18" s="266"/>
    </row>
    <row r="19" spans="1:14">
      <c r="B19" s="224"/>
      <c r="C19" s="224"/>
      <c r="L19" s="158"/>
    </row>
    <row r="20" spans="1:14" ht="15.6">
      <c r="B20" s="268" t="s">
        <v>107</v>
      </c>
      <c r="C20" s="268"/>
      <c r="E20" s="221" t="s">
        <v>9</v>
      </c>
      <c r="F20" s="221" t="s">
        <v>9</v>
      </c>
      <c r="L20" s="210"/>
    </row>
  </sheetData>
  <mergeCells count="89">
    <mergeCell ref="K3:L4"/>
    <mergeCell ref="M3:N4"/>
    <mergeCell ref="A6:A8"/>
    <mergeCell ref="A3:A4"/>
    <mergeCell ref="E3:F4"/>
    <mergeCell ref="E6:F8"/>
    <mergeCell ref="G6:H8"/>
    <mergeCell ref="G3:H4"/>
    <mergeCell ref="B20:C20"/>
    <mergeCell ref="K1:L1"/>
    <mergeCell ref="M1:N1"/>
    <mergeCell ref="B14:C14"/>
    <mergeCell ref="B1:C1"/>
    <mergeCell ref="E1:F1"/>
    <mergeCell ref="G1:H1"/>
    <mergeCell ref="I1:J1"/>
    <mergeCell ref="B5:C5"/>
    <mergeCell ref="B9:C9"/>
    <mergeCell ref="B10:C10"/>
    <mergeCell ref="K5:L5"/>
    <mergeCell ref="B16:C16"/>
    <mergeCell ref="B17:C17"/>
    <mergeCell ref="B19:C19"/>
    <mergeCell ref="E16:F16"/>
    <mergeCell ref="B18:D18"/>
    <mergeCell ref="I18:J18"/>
    <mergeCell ref="K16:L16"/>
    <mergeCell ref="M17:N17"/>
    <mergeCell ref="G16:H16"/>
    <mergeCell ref="I17:J17"/>
    <mergeCell ref="M18:N18"/>
    <mergeCell ref="M16:N16"/>
    <mergeCell ref="I16:J16"/>
    <mergeCell ref="E14:F14"/>
    <mergeCell ref="G14:H14"/>
    <mergeCell ref="I14:J14"/>
    <mergeCell ref="M14:N14"/>
    <mergeCell ref="M9:N9"/>
    <mergeCell ref="G10:H10"/>
    <mergeCell ref="I10:J10"/>
    <mergeCell ref="K10:L10"/>
    <mergeCell ref="M10:N10"/>
    <mergeCell ref="E10:F10"/>
    <mergeCell ref="G9:H9"/>
    <mergeCell ref="I9:J9"/>
    <mergeCell ref="K9:L9"/>
    <mergeCell ref="E9:F9"/>
    <mergeCell ref="G2:H2"/>
    <mergeCell ref="D6:D7"/>
    <mergeCell ref="B11:C11"/>
    <mergeCell ref="E11:F11"/>
    <mergeCell ref="G11:H11"/>
    <mergeCell ref="B2:C2"/>
    <mergeCell ref="E2:F2"/>
    <mergeCell ref="E5:F5"/>
    <mergeCell ref="G5:H5"/>
    <mergeCell ref="B3:C4"/>
    <mergeCell ref="B6:C8"/>
    <mergeCell ref="B12:C12"/>
    <mergeCell ref="E12:F12"/>
    <mergeCell ref="G12:H12"/>
    <mergeCell ref="I12:J12"/>
    <mergeCell ref="K12:L12"/>
    <mergeCell ref="B13:C13"/>
    <mergeCell ref="E13:F13"/>
    <mergeCell ref="G13:H13"/>
    <mergeCell ref="I13:J13"/>
    <mergeCell ref="K13:L13"/>
    <mergeCell ref="M15:N15"/>
    <mergeCell ref="I2:J2"/>
    <mergeCell ref="K2:L2"/>
    <mergeCell ref="M2:N2"/>
    <mergeCell ref="M13:N13"/>
    <mergeCell ref="I11:J11"/>
    <mergeCell ref="K11:L11"/>
    <mergeCell ref="M11:N11"/>
    <mergeCell ref="M12:N12"/>
    <mergeCell ref="K14:L14"/>
    <mergeCell ref="M5:N5"/>
    <mergeCell ref="I5:J5"/>
    <mergeCell ref="K6:L8"/>
    <mergeCell ref="M6:N8"/>
    <mergeCell ref="I6:J8"/>
    <mergeCell ref="I3:J4"/>
    <mergeCell ref="B15:C15"/>
    <mergeCell ref="E15:F15"/>
    <mergeCell ref="G15:H15"/>
    <mergeCell ref="I15:J15"/>
    <mergeCell ref="K15:L15"/>
  </mergeCells>
  <pageMargins left="0.7" right="0.7" top="0.75" bottom="0.75" header="0.3" footer="0.3"/>
  <pageSetup paperSize="9" orientation="landscape" r:id="rId1"/>
  <headerFooter>
    <oddHeader xml:space="preserve">&amp;C&amp;"-,Bold"DISTRIBUTION ACCOUNT - LIST A -
</oddHeader>
    <oddFooter>&amp;L&amp;"Avenir Next Regular,Regular"&amp;K000000202223-1073.Paper2Summative</oddFooter>
  </headerFooter>
  <ignoredErrors>
    <ignoredError sqref="I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B4916-5CEF-43CD-8B7D-A8988996B508}">
  <dimension ref="A1:I31"/>
  <sheetViews>
    <sheetView zoomScaleNormal="100" zoomScalePageLayoutView="159" workbookViewId="0">
      <selection activeCell="I2" sqref="I2"/>
    </sheetView>
  </sheetViews>
  <sheetFormatPr defaultColWidth="8.7109375" defaultRowHeight="14.45"/>
  <cols>
    <col min="1" max="1" width="36.7109375" customWidth="1"/>
    <col min="2" max="2" width="12.7109375" bestFit="1" customWidth="1"/>
    <col min="3" max="3" width="16.7109375" bestFit="1" customWidth="1"/>
    <col min="4" max="4" width="15.140625" bestFit="1" customWidth="1"/>
    <col min="5" max="5" width="12.7109375" bestFit="1" customWidth="1"/>
    <col min="6" max="6" width="18.42578125" bestFit="1" customWidth="1"/>
    <col min="7" max="7" width="10.140625" bestFit="1" customWidth="1"/>
  </cols>
  <sheetData>
    <row r="1" spans="1:9">
      <c r="A1" t="s">
        <v>108</v>
      </c>
    </row>
    <row r="2" spans="1:9">
      <c r="A2" s="11" t="s">
        <v>29</v>
      </c>
      <c r="B2" s="2"/>
      <c r="C2" s="5" t="s">
        <v>31</v>
      </c>
      <c r="D2" s="7" t="s">
        <v>32</v>
      </c>
      <c r="I2" s="223">
        <v>4</v>
      </c>
    </row>
    <row r="3" spans="1:9">
      <c r="A3" s="1"/>
      <c r="B3" s="1"/>
      <c r="C3" s="6"/>
      <c r="D3" s="8"/>
    </row>
    <row r="4" spans="1:9" ht="41.45">
      <c r="A4" s="10" t="s">
        <v>109</v>
      </c>
      <c r="B4" s="153"/>
      <c r="C4" s="142"/>
      <c r="D4" s="161">
        <v>13552455.810000001</v>
      </c>
      <c r="F4" s="221" t="s">
        <v>9</v>
      </c>
      <c r="G4" s="221" t="s">
        <v>9</v>
      </c>
    </row>
    <row r="5" spans="1:9">
      <c r="A5" s="9"/>
      <c r="B5" s="153"/>
      <c r="C5" s="142"/>
      <c r="D5" s="162"/>
    </row>
    <row r="6" spans="1:9">
      <c r="A6" s="15" t="s">
        <v>110</v>
      </c>
      <c r="B6" s="150"/>
      <c r="C6" s="162"/>
      <c r="D6" s="162"/>
    </row>
    <row r="7" spans="1:9">
      <c r="A7" s="14"/>
      <c r="B7" s="150"/>
      <c r="C7" s="162"/>
      <c r="D7" s="162"/>
    </row>
    <row r="8" spans="1:9">
      <c r="A8" s="13" t="s">
        <v>111</v>
      </c>
      <c r="B8" s="152"/>
      <c r="C8" s="161">
        <v>26000</v>
      </c>
      <c r="D8" s="162"/>
    </row>
    <row r="9" spans="1:9">
      <c r="A9" s="13" t="s">
        <v>112</v>
      </c>
      <c r="B9" s="150"/>
      <c r="C9" s="162">
        <v>886850.92</v>
      </c>
      <c r="D9" s="162"/>
      <c r="F9" s="212"/>
    </row>
    <row r="10" spans="1:9">
      <c r="A10" s="3" t="s">
        <v>113</v>
      </c>
      <c r="B10" s="150"/>
      <c r="C10" s="162">
        <v>275000</v>
      </c>
      <c r="D10" s="162"/>
      <c r="F10" s="213"/>
    </row>
    <row r="11" spans="1:9">
      <c r="A11" s="3" t="s">
        <v>114</v>
      </c>
      <c r="B11" s="150"/>
      <c r="C11" s="162">
        <v>150</v>
      </c>
      <c r="D11" s="143"/>
      <c r="F11" s="214"/>
    </row>
    <row r="12" spans="1:9">
      <c r="A12" s="3" t="s">
        <v>115</v>
      </c>
      <c r="B12" s="150"/>
      <c r="C12" s="162">
        <v>1030</v>
      </c>
      <c r="D12" s="143"/>
      <c r="F12" s="215"/>
    </row>
    <row r="13" spans="1:9" ht="16.149999999999999" thickBot="1">
      <c r="A13" s="3" t="s">
        <v>116</v>
      </c>
      <c r="B13" s="150"/>
      <c r="C13" s="199">
        <f>SUM('EA 1 '!D16,'EA 2'!D17,'EA 3'!D12,'Free Residue'!D26)</f>
        <v>1655201.6755995476</v>
      </c>
      <c r="D13" s="162"/>
      <c r="F13" s="221" t="s">
        <v>9</v>
      </c>
      <c r="G13" s="221" t="s">
        <v>9</v>
      </c>
    </row>
    <row r="14" spans="1:9">
      <c r="A14" s="1"/>
      <c r="B14" s="154"/>
      <c r="C14" s="163">
        <f>SUM(C8,C13,C12,C11,C10,C9)</f>
        <v>2844232.5955995475</v>
      </c>
      <c r="D14" s="143"/>
    </row>
    <row r="15" spans="1:9">
      <c r="A15" s="1"/>
      <c r="B15" s="150"/>
      <c r="C15" s="162"/>
      <c r="D15" s="162"/>
    </row>
    <row r="16" spans="1:9">
      <c r="A16" s="18" t="s">
        <v>117</v>
      </c>
      <c r="B16" s="150"/>
      <c r="C16" s="162"/>
      <c r="D16" s="162"/>
    </row>
    <row r="17" spans="1:7">
      <c r="A17" s="1"/>
      <c r="B17" s="150"/>
      <c r="C17" s="162"/>
      <c r="D17" s="162"/>
    </row>
    <row r="18" spans="1:7">
      <c r="A18" s="13" t="s">
        <v>118</v>
      </c>
      <c r="B18" s="150"/>
      <c r="C18" s="162">
        <f>'EA 1 '!D20</f>
        <v>6946200.7178378832</v>
      </c>
      <c r="D18" s="162"/>
    </row>
    <row r="19" spans="1:7">
      <c r="A19" s="13" t="s">
        <v>119</v>
      </c>
      <c r="B19" s="150"/>
      <c r="C19" s="161">
        <f>'EA 2'!D20</f>
        <v>2568390.4289343026</v>
      </c>
      <c r="D19" s="162"/>
    </row>
    <row r="20" spans="1:7">
      <c r="A20" s="13" t="s">
        <v>120</v>
      </c>
      <c r="B20" s="150"/>
      <c r="C20" s="161">
        <v>861378.62</v>
      </c>
      <c r="D20" s="162"/>
    </row>
    <row r="21" spans="1:7">
      <c r="A21" s="13"/>
      <c r="B21" s="150"/>
      <c r="C21" s="162"/>
      <c r="D21" s="162"/>
    </row>
    <row r="22" spans="1:7">
      <c r="A22" s="22" t="s">
        <v>121</v>
      </c>
      <c r="B22" s="150"/>
      <c r="C22" s="162"/>
      <c r="D22" s="162"/>
    </row>
    <row r="23" spans="1:7" ht="15.6">
      <c r="A23" s="1" t="s">
        <v>122</v>
      </c>
      <c r="B23" s="150"/>
      <c r="C23" s="162">
        <f>'Free Residue'!D31</f>
        <v>16000</v>
      </c>
      <c r="D23" s="162"/>
      <c r="F23" s="221" t="s">
        <v>9</v>
      </c>
      <c r="G23" s="221" t="s">
        <v>9</v>
      </c>
    </row>
    <row r="24" spans="1:7">
      <c r="A24" s="1" t="s">
        <v>123</v>
      </c>
      <c r="B24" s="150"/>
      <c r="C24" s="162">
        <f>'Free Residue'!D35</f>
        <v>9000</v>
      </c>
      <c r="D24" s="162"/>
    </row>
    <row r="25" spans="1:7">
      <c r="A25" s="1" t="s">
        <v>124</v>
      </c>
      <c r="B25" s="150"/>
      <c r="C25" s="162">
        <f>'Free Residue'!D36</f>
        <v>137186.64000000001</v>
      </c>
      <c r="D25" s="162"/>
    </row>
    <row r="26" spans="1:7">
      <c r="A26" s="1"/>
      <c r="B26" s="155"/>
      <c r="C26" s="162"/>
      <c r="D26" s="162"/>
    </row>
    <row r="27" spans="1:7">
      <c r="A27" s="1" t="s">
        <v>125</v>
      </c>
      <c r="B27" s="150"/>
      <c r="C27" s="162">
        <f>D4-SUM(C14,C18,C20,C19,C23,C24,C25)</f>
        <v>170066.80762826838</v>
      </c>
      <c r="D27" s="162"/>
    </row>
    <row r="28" spans="1:7" ht="15.6">
      <c r="B28" s="151" t="s">
        <v>12</v>
      </c>
      <c r="C28" s="164">
        <f>SUM(C14,C18,C19,C20,C27+C23,C24,C25)</f>
        <v>13552455.810000001</v>
      </c>
      <c r="D28" s="164">
        <f>D4</f>
        <v>13552455.810000001</v>
      </c>
      <c r="F28" s="221" t="s">
        <v>9</v>
      </c>
      <c r="G28" s="221" t="s">
        <v>9</v>
      </c>
    </row>
    <row r="31" spans="1:7">
      <c r="C31" s="209"/>
    </row>
  </sheetData>
  <phoneticPr fontId="8" type="noConversion"/>
  <pageMargins left="0.7" right="0.7" top="0.75" bottom="0.75" header="0.3" footer="0.3"/>
  <pageSetup paperSize="9" orientation="portrait" r:id="rId1"/>
  <headerFooter>
    <oddHeader>&amp;L&amp;"System Font,Bold"&amp;10&amp;U&amp;K000000Bank Reconciliation Account</oddHeader>
    <oddFooter>&amp;L&amp;"Avenir Next Regular,Regular"&amp;K000000202223-1073.Paper2Summative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G Y J Z V 2 W l X H 2 k A A A A 9 g A A A B I A H A B D b 2 5 m a W c v U G F j a 2 F n Z S 5 4 b W w g o h g A K K A U A A A A A A A A A A A A A A A A A A A A A A A A A A A A h Y 9 B C s I w F E S v U r J v k s a N l N + I u L U g C C L u Q h r b Y P s r T W p 6 N x c e y S t Y 0 a o 7 l / P m L W b u 1 x s s h q a O L q Z z t s W M J J S T y K B u C 4 t l R n p / j O d k I W G j 9 E m V J h p l d O n g i o x U 3 p 9 T x k I I N M x o 2 5 V M c J 6 w f b 7 e 6 s o 0 i n x k + 1 + O L T q v U B s i Y f c a I w V N R E I F F 5 Q D m y D k F r / C 2 P N n + w N h 1 d e + 7 4 w 0 G B + W w K Y I 7 P 1 B P g B Q S w M E F A A C A A g A G Y J Z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m C W V c o i k e 4 D g A A A B E A A A A T A B w A R m 9 y b X V s Y X M v U 2 V j d G l v b j E u b S C i G A A o o B Q A A A A A A A A A A A A A A A A A A A A A A A A A A A A r T k 0 u y c z P U w i G 0 I b W A F B L A Q I t A B Q A A g A I A B m C W V d l p V x 9 p A A A A P Y A A A A S A A A A A A A A A A A A A A A A A A A A A A B D b 2 5 m a W c v U G F j a 2 F n Z S 5 4 b W x Q S w E C L Q A U A A I A C A A Z g l l X D 8 r p q 6 Q A A A D p A A A A E w A A A A A A A A A A A A A A A A D w A A A A W 0 N v b n R l b n R f V H l w Z X N d L n h t b F B L A Q I t A B Q A A g A I A B m C W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s x V M f V i 5 R K K t o f 7 O E 8 4 Y A A A A A A I A A A A A A B B m A A A A A Q A A I A A A A B 0 3 d t j G 6 h x I s 8 t I v Y k 9 / i 9 F m q U q M n L l 3 8 r c C g z G J H J R A A A A A A 6 A A A A A A g A A I A A A A G j T r + c D P 9 1 J 4 H A Z S 7 4 f R g y H Y y n e 3 M p + d j q q W l y h 9 U d x U A A A A O K h Y b J V D v / z d i B G M Q b P / V H 9 d R f V d G g s 4 H y 4 V H + 6 j u a S M 7 f o M K m w T W p 1 Z u g 1 Q f j 8 y t 3 M n z c F S 0 b j s f c H O 4 8 U f 7 x r c j y M z c I X p n G / F A i N P t K R Q A A A A J m o l f s J g H y m z 2 K Q F k n F 3 4 S B N 2 V 3 w T E L K 5 a V w U A q 2 M f k A J R I l L F b S k Y O 9 Q g J 3 U M 4 k 4 T h i z W w a Q P g K 3 g F R q r j y H 0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E7580C-772D-49EC-814C-19EC08F828D7}"/>
</file>

<file path=customXml/itemProps2.xml><?xml version="1.0" encoding="utf-8"?>
<ds:datastoreItem xmlns:ds="http://schemas.openxmlformats.org/officeDocument/2006/customXml" ds:itemID="{6EC1371F-673A-44F8-AC44-129095A66539}"/>
</file>

<file path=customXml/itemProps3.xml><?xml version="1.0" encoding="utf-8"?>
<ds:datastoreItem xmlns:ds="http://schemas.openxmlformats.org/officeDocument/2006/customXml" ds:itemID="{59C308F7-16A3-4318-9A27-56C40D413546}"/>
</file>

<file path=customXml/itemProps4.xml><?xml version="1.0" encoding="utf-8"?>
<ds:datastoreItem xmlns:ds="http://schemas.openxmlformats.org/officeDocument/2006/customXml" ds:itemID="{5A232209-A56F-4FCF-B19E-FFA8A7C1D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202223-1073.Paper2Summative</dc:creator>
  <cp:keywords/>
  <dc:description/>
  <cp:lastModifiedBy>Brenda Bennett</cp:lastModifiedBy>
  <cp:revision/>
  <dcterms:created xsi:type="dcterms:W3CDTF">2023-10-17T17:05:35Z</dcterms:created>
  <dcterms:modified xsi:type="dcterms:W3CDTF">2023-12-12T08:49:49Z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