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sele/Downloads/"/>
    </mc:Choice>
  </mc:AlternateContent>
  <xr:revisionPtr revIDLastSave="0" documentId="13_ncr:1_{7B0B25FB-C3C6-AA4D-9FAD-CF30EDDC20B9}" xr6:coauthVersionLast="47" xr6:coauthVersionMax="47" xr10:uidLastSave="{00000000-0000-0000-0000-000000000000}"/>
  <bookViews>
    <workbookView xWindow="780" yWindow="500" windowWidth="26920" windowHeight="16500" xr2:uid="{F30F320E-F90E-5948-AA61-079F172A7E4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AS27" i="1"/>
  <c r="AS26" i="1"/>
  <c r="AS25" i="1"/>
  <c r="AS24" i="1"/>
  <c r="AS23" i="1"/>
  <c r="AS22" i="1"/>
  <c r="AS17" i="1"/>
  <c r="AS7" i="1"/>
  <c r="AS6" i="1"/>
  <c r="AS5" i="1"/>
  <c r="AK30" i="1"/>
  <c r="AG24" i="1"/>
  <c r="AJ23" i="1" s="1"/>
  <c r="AJ27" i="1" s="1"/>
  <c r="AU11" i="1" s="1"/>
  <c r="X27" i="1"/>
  <c r="AA26" i="1" s="1"/>
  <c r="G19" i="1" s="1"/>
  <c r="N27" i="1"/>
  <c r="R26" i="1" s="1"/>
  <c r="I88" i="1"/>
  <c r="G89" i="1"/>
  <c r="I89" i="1" s="1"/>
  <c r="AI8" i="1"/>
  <c r="G134" i="1"/>
  <c r="G133" i="1"/>
  <c r="G132" i="1"/>
  <c r="G38" i="1"/>
  <c r="G131" i="1" s="1"/>
  <c r="Z15" i="1"/>
  <c r="G97" i="1"/>
  <c r="I98" i="1" s="1"/>
  <c r="H111" i="1"/>
  <c r="G79" i="1"/>
  <c r="I79" i="1" s="1"/>
  <c r="AB7" i="1"/>
  <c r="G20" i="1" l="1"/>
  <c r="AA30" i="1"/>
  <c r="AA32" i="1"/>
  <c r="AJ30" i="1"/>
  <c r="G80" i="1"/>
  <c r="I80" i="1" s="1"/>
  <c r="I81" i="1" s="1"/>
  <c r="AB32" i="1"/>
  <c r="Z7" i="1"/>
  <c r="I97" i="1"/>
  <c r="I99" i="1" s="1"/>
  <c r="G98" i="1"/>
  <c r="I90" i="1"/>
  <c r="G42" i="1"/>
  <c r="G45" i="1" s="1"/>
  <c r="H110" i="1"/>
  <c r="G70" i="1"/>
  <c r="Q8" i="1" s="1"/>
  <c r="S8" i="1"/>
  <c r="R31" i="1" s="1"/>
  <c r="AU10" i="1" l="1"/>
  <c r="I70" i="1"/>
  <c r="I83" i="1"/>
  <c r="I84" i="1" s="1"/>
  <c r="AA14" i="1"/>
  <c r="Z14" i="1" s="1"/>
  <c r="I101" i="1"/>
  <c r="I102" i="1" s="1"/>
  <c r="AT16" i="1" s="1"/>
  <c r="AS16" i="1" s="1"/>
  <c r="S32" i="1"/>
  <c r="I92" i="1"/>
  <c r="I93" i="1" s="1"/>
  <c r="AJ13" i="1" s="1"/>
  <c r="I49" i="1"/>
  <c r="I51" i="1" s="1"/>
  <c r="G9" i="1" s="1"/>
  <c r="G47" i="1"/>
  <c r="G48" i="1" s="1"/>
  <c r="I41" i="1"/>
  <c r="AT15" i="1" s="1"/>
  <c r="AS15" i="1" s="1"/>
  <c r="G71" i="1"/>
  <c r="I71" i="1" s="1"/>
  <c r="I72" i="1" s="1"/>
  <c r="I38" i="1"/>
  <c r="R13" i="1" s="1"/>
  <c r="Q13" i="1" s="1"/>
  <c r="H41" i="1"/>
  <c r="AT14" i="1" s="1"/>
  <c r="I39" i="1"/>
  <c r="AA13" i="1" s="1"/>
  <c r="Z13" i="1" s="1"/>
  <c r="H38" i="1"/>
  <c r="I40" i="1"/>
  <c r="AJ12" i="1" s="1"/>
  <c r="AI12" i="1" s="1"/>
  <c r="H39" i="1"/>
  <c r="AA12" i="1" s="1"/>
  <c r="H40" i="1"/>
  <c r="R32" i="1" l="1"/>
  <c r="AU9" i="1"/>
  <c r="AU31" i="1" s="1"/>
  <c r="H112" i="1" s="1"/>
  <c r="H114" i="1" s="1"/>
  <c r="K99" i="1" s="1"/>
  <c r="I110" i="1"/>
  <c r="R18" i="1" s="1"/>
  <c r="AI13" i="1"/>
  <c r="I74" i="1"/>
  <c r="Q18" i="1" s="1"/>
  <c r="AJ11" i="1"/>
  <c r="R12" i="1"/>
  <c r="H42" i="1"/>
  <c r="I112" i="1" l="1"/>
  <c r="AT18" i="1" s="1"/>
  <c r="I111" i="1"/>
  <c r="AA16" i="1" s="1"/>
  <c r="Z16" i="1"/>
  <c r="AA19" i="1" s="1"/>
  <c r="H132" i="1" s="1"/>
  <c r="I132" i="1" s="1"/>
  <c r="I114" i="1"/>
  <c r="AS18" i="1"/>
  <c r="AT29" i="1" s="1"/>
  <c r="I75" i="1"/>
  <c r="AJ16" i="1"/>
  <c r="H133" i="1" s="1"/>
  <c r="I133" i="1" s="1"/>
  <c r="AA22" i="1"/>
  <c r="R14" i="1" l="1"/>
  <c r="Q14" i="1" s="1"/>
  <c r="G10" i="1"/>
  <c r="AT31" i="1"/>
  <c r="AU32" i="1" s="1"/>
  <c r="AJ18" i="1"/>
  <c r="R20" i="1"/>
  <c r="H131" i="1" s="1"/>
  <c r="I131" i="1" s="1"/>
  <c r="R22" i="1" l="1"/>
</calcChain>
</file>

<file path=xl/sharedStrings.xml><?xml version="1.0" encoding="utf-8"?>
<sst xmlns="http://schemas.openxmlformats.org/spreadsheetml/2006/main" count="210" uniqueCount="129">
  <si>
    <t>BANK RECONCILIATION STATEMENT</t>
  </si>
  <si>
    <t>NARRARION</t>
  </si>
  <si>
    <t xml:space="preserve">Balance as per bank statement as at date of drafting </t>
  </si>
  <si>
    <t>the account</t>
  </si>
  <si>
    <t>PAYMENTS</t>
  </si>
  <si>
    <t>RECEIPTS</t>
  </si>
  <si>
    <t>PAYMENTS STILL TO BE MADE:</t>
  </si>
  <si>
    <t>Master's fee</t>
  </si>
  <si>
    <t>Liquidator's remuneration</t>
  </si>
  <si>
    <t>Advertising costs</t>
  </si>
  <si>
    <t>Bank charges (provision)</t>
  </si>
  <si>
    <t>Postage and pettie</t>
  </si>
  <si>
    <t>SARS, for VAT payable per this account</t>
  </si>
  <si>
    <t>AWARDS TO CREDITORS STILL TO BE MADE:</t>
  </si>
  <si>
    <t>Free residue</t>
  </si>
  <si>
    <t>Concurrent creditors</t>
  </si>
  <si>
    <t>TOTALS</t>
  </si>
  <si>
    <t>ENCUMBERED ASSET ACCOUNT 1</t>
  </si>
  <si>
    <t>NARRATION</t>
  </si>
  <si>
    <t>Receipts</t>
  </si>
  <si>
    <t>VAT</t>
  </si>
  <si>
    <t>Payments</t>
  </si>
  <si>
    <t xml:space="preserve">Master's fee, pro rata portion as per Schedule A </t>
  </si>
  <si>
    <t>Liquidator's fee as per Schedule B</t>
  </si>
  <si>
    <t>Arrear amounts owing up to date of liquidation</t>
  </si>
  <si>
    <t>Amount paid by liquidator up to date of transfer</t>
  </si>
  <si>
    <t>SARS, VAT payable as per this accoun</t>
  </si>
  <si>
    <t xml:space="preserve">Total payments </t>
  </si>
  <si>
    <t>Balance awarded as follows:</t>
  </si>
  <si>
    <t>Balance carried over to Free Residue Account</t>
  </si>
  <si>
    <t>FREE RESIDUE ACCOUNT</t>
  </si>
  <si>
    <t>Amount carried over from Encumbered Asset Account 1</t>
  </si>
  <si>
    <t>Advertisement expenses:</t>
  </si>
  <si>
    <t>Second (general) meeting</t>
  </si>
  <si>
    <t>Destruction of books and records</t>
  </si>
  <si>
    <t>SARS, VAT payable this account</t>
  </si>
  <si>
    <t>Preferent creditors:</t>
  </si>
  <si>
    <t>SARS, Cr 7, s 99</t>
  </si>
  <si>
    <t>SCHEDULE A</t>
  </si>
  <si>
    <t>PRO RATA APPORTIONMENT OF MASTER'S FEES AND BOND OF SECURITY PREMIUM</t>
  </si>
  <si>
    <t>ACCOUNT</t>
  </si>
  <si>
    <t>Encumbered aseet account 1</t>
  </si>
  <si>
    <t>Encumbered aseet account 2</t>
  </si>
  <si>
    <t>Encumbered aseet account 3</t>
  </si>
  <si>
    <t>Free residue account</t>
  </si>
  <si>
    <t>GROSS PROCEEDS</t>
  </si>
  <si>
    <t>MASTERS FEE</t>
  </si>
  <si>
    <t>BOND PREMIUM</t>
  </si>
  <si>
    <t>Master's fee calculation</t>
  </si>
  <si>
    <t>Gross value of estate:</t>
  </si>
  <si>
    <t>Less:</t>
  </si>
  <si>
    <t>Divided by ZAR 5,000.00</t>
  </si>
  <si>
    <t xml:space="preserve">Total Master's fee therefore: </t>
  </si>
  <si>
    <t xml:space="preserve">CALCULATION OF LIQUIDATOR'S REMUNERATION IN ACCORDANCE WITH SPENDIFF DECISION </t>
  </si>
  <si>
    <t>SCHEDULE B</t>
  </si>
  <si>
    <t xml:space="preserve">Fixed property </t>
  </si>
  <si>
    <t>Fee @ 3% on</t>
  </si>
  <si>
    <t>Fee on fixed property</t>
  </si>
  <si>
    <t>Plus VAT @ 15% thereon</t>
  </si>
  <si>
    <t>Total fee VAT inclusive</t>
  </si>
  <si>
    <t xml:space="preserve">ENCUMBERED ASSET ACCOUNT 2 </t>
  </si>
  <si>
    <t>Fee @10% on</t>
  </si>
  <si>
    <t xml:space="preserve">Plus VAT @ 15% thereon </t>
  </si>
  <si>
    <t>ENCUMBERED ASSET ACCOUNT 3</t>
  </si>
  <si>
    <t>SCHEDULE C</t>
  </si>
  <si>
    <t xml:space="preserve">PRO RATA APPORTIONMENT OF AUCTIONEER'S COMMISSION </t>
  </si>
  <si>
    <t xml:space="preserve">Encumbered asset account 1 </t>
  </si>
  <si>
    <t>AUCTIONEER'S COMMISSION</t>
  </si>
  <si>
    <t>Total</t>
  </si>
  <si>
    <t>SCHEDULE D</t>
  </si>
  <si>
    <t>VAT SCHEDULE</t>
  </si>
  <si>
    <t>OUTPUT VAT</t>
  </si>
  <si>
    <t>INPUT VAT</t>
  </si>
  <si>
    <t>VAT PAY/REFUND</t>
  </si>
  <si>
    <t>PROCEEDS OF PORTION 8 OF FARM "VALLEYGROVE", STELLENBOSCH, WESTERN CAPE, SUBJECT TO FIRST MORTGAGE BOND</t>
  </si>
  <si>
    <t>ENCUMBERED ASSET ACCOUNT 2</t>
  </si>
  <si>
    <t>SARS, VAT payable as per this account</t>
  </si>
  <si>
    <t>Therefore, 2,752.92 x R275</t>
  </si>
  <si>
    <t>GuardianSure Bonds Ltd, pro rata portion of bond of security premium as per Schedule A</t>
  </si>
  <si>
    <t>Western Province Municipality, rates and taxes, as follows:</t>
  </si>
  <si>
    <t>Proceeds of bottling plant and equipment sold by public auction by Hastings Auctioneers</t>
  </si>
  <si>
    <t xml:space="preserve">Proceeds of farm "ValleyGrove", Stellenbosch, Western Cape, sold </t>
  </si>
  <si>
    <t>by public auction by Hastings Auctions</t>
  </si>
  <si>
    <t>Proceeds of 2019 self-propelled grape harvester, registration</t>
  </si>
  <si>
    <t>no. CA9090 sold by public auction by Hastings Auctioneers</t>
  </si>
  <si>
    <t>Encumbered asset account 2</t>
  </si>
  <si>
    <t xml:space="preserve">x 15% x 3% </t>
  </si>
  <si>
    <t xml:space="preserve">x 15% x 10% </t>
  </si>
  <si>
    <t>Encumbered asset account 3</t>
  </si>
  <si>
    <t>IN FAVOUR OF AGRITECH FINANCE</t>
  </si>
  <si>
    <t>PROCEEDS OF BOTTLING PLANT AND EQUIPMENT AUCTIONED BY HASTINGS AUCTIONS IN FAVOUR OF HARVEST FINANCE LTD</t>
  </si>
  <si>
    <t xml:space="preserve"> IN FAVOUR OF CAPITAL BANK LTD</t>
  </si>
  <si>
    <t>GrapeFlow Bottling Solutions for repairs to bottling plant</t>
  </si>
  <si>
    <t>Interest @ 14% from 05/09/22 to 17/03/23 (192 days)</t>
  </si>
  <si>
    <t>Interest @ 16,5% from 05/09/22 to 17/03/23 (192 days)</t>
  </si>
  <si>
    <t>Interest @ 18,5% from 05/09/22 to 17/03/23 (192 days)</t>
  </si>
  <si>
    <t xml:space="preserve">Plus interest ZAR </t>
  </si>
  <si>
    <t>Plus interest ZAR</t>
  </si>
  <si>
    <t>Capital Bank Ltd, for mortgage bond over the property: Capital ZAR</t>
  </si>
  <si>
    <t>Encumbered asset account 1</t>
  </si>
  <si>
    <t xml:space="preserve">AgriTech, over the movable property: Capital ZAR </t>
  </si>
  <si>
    <t>PROCEEDS OF 2019 SELF-PROPELLED GRAPE HARVESTER, REGISTRATION NO. CA9090, SOLD BY PRIVATE TREATY</t>
  </si>
  <si>
    <t xml:space="preserve">Harvest Finance Ltd bond over the movable property: Capital ZAR </t>
  </si>
  <si>
    <t xml:space="preserve">Capital ZAR </t>
  </si>
  <si>
    <t>Proceeds of inventory of wine bottles, manufactured by the winery at farm "ValleyGrove"</t>
  </si>
  <si>
    <t>Proceeds of misc. movable assets and office equipment found at farm "ValleyGrove"</t>
  </si>
  <si>
    <t>Proceeds of Stella Valley Cabernet grapes sold privately to local Co-op market</t>
  </si>
  <si>
    <t>Proceeds of book debts collected bySithole &amp; Partners (VAT excl.)</t>
  </si>
  <si>
    <t>Amount carried over from Encumbered Asset Account 2</t>
  </si>
  <si>
    <t>GuardianSure Bonds Ltd, pro rata bond of security premium as per Schedule B</t>
  </si>
  <si>
    <t>Hastings Auctioneers Auctioneers, pro rata portion of auctioneer's fees as per Schedule C</t>
  </si>
  <si>
    <t>Inspection of account</t>
  </si>
  <si>
    <t>Confirmation of account</t>
  </si>
  <si>
    <t>Trust Bank Ltd , bank charges (including provision of ZAR150.00</t>
  </si>
  <si>
    <t>Postage and petties allowed by the Master</t>
  </si>
  <si>
    <t>Horizon Attorneys, taxed bill of costs re liquidation</t>
  </si>
  <si>
    <t>Hastings Auctioneers pro rata portion of auctioneer's fees as per Schedule C</t>
  </si>
  <si>
    <t>Thabo Moeg, CR i.to s.98A</t>
  </si>
  <si>
    <t>Arrear salary ZAR</t>
  </si>
  <si>
    <t>Leave pay ZAR</t>
  </si>
  <si>
    <t>David Smith, CR i.to s.98A</t>
  </si>
  <si>
    <t>Maria Ndlovu, CR i.to s.98A</t>
  </si>
  <si>
    <t>Sindiwe Mthembu, CR i.to s.98A</t>
  </si>
  <si>
    <t>ZAR</t>
  </si>
  <si>
    <t>Balance for redistribution</t>
  </si>
  <si>
    <t>Amount carried over from Encumbered Asset Account 3</t>
  </si>
  <si>
    <t>Arrear Income Tax</t>
  </si>
  <si>
    <t>Arrear VAT</t>
  </si>
  <si>
    <t>Payments to General Workers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</si>
</sst>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MT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 vertical="center"/>
    </xf>
    <xf numFmtId="4" fontId="6" fillId="0" borderId="0" xfId="0" applyNumberFormat="1" applyFont="1"/>
    <xf numFmtId="2" fontId="6" fillId="0" borderId="0" xfId="0" applyNumberFormat="1" applyFont="1"/>
    <xf numFmtId="43" fontId="6" fillId="0" borderId="0" xfId="1" applyFont="1"/>
    <xf numFmtId="43" fontId="3" fillId="0" borderId="0" xfId="1" applyFont="1"/>
    <xf numFmtId="43" fontId="6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center" vertical="center"/>
    </xf>
    <xf numFmtId="43" fontId="10" fillId="0" borderId="0" xfId="1" applyFont="1"/>
    <xf numFmtId="43" fontId="9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43" fontId="6" fillId="0" borderId="0" xfId="0" applyNumberFormat="1" applyFont="1" applyBorder="1"/>
    <xf numFmtId="0" fontId="5" fillId="0" borderId="0" xfId="0" applyFont="1" applyAlignment="1">
      <alignment horizontal="left" vertical="center"/>
    </xf>
    <xf numFmtId="43" fontId="3" fillId="0" borderId="0" xfId="0" applyNumberFormat="1" applyFont="1"/>
    <xf numFmtId="43" fontId="10" fillId="0" borderId="0" xfId="1" applyFont="1" applyAlignment="1">
      <alignment horizontal="left" vertical="center"/>
    </xf>
    <xf numFmtId="4" fontId="10" fillId="0" borderId="0" xfId="0" applyNumberFormat="1" applyFont="1"/>
    <xf numFmtId="43" fontId="10" fillId="0" borderId="0" xfId="0" applyNumberFormat="1" applyFont="1"/>
    <xf numFmtId="43" fontId="9" fillId="0" borderId="0" xfId="1" applyFont="1"/>
    <xf numFmtId="0" fontId="6" fillId="0" borderId="0" xfId="0" applyFont="1" applyAlignment="1">
      <alignment horizontal="left" vertical="center"/>
    </xf>
    <xf numFmtId="0" fontId="6" fillId="0" borderId="0" xfId="0" applyFont="1" applyFill="1"/>
    <xf numFmtId="43" fontId="6" fillId="0" borderId="0" xfId="0" applyNumberFormat="1" applyFont="1" applyFill="1"/>
    <xf numFmtId="43" fontId="6" fillId="0" borderId="0" xfId="1" applyFont="1" applyFill="1"/>
    <xf numFmtId="43" fontId="9" fillId="0" borderId="0" xfId="0" applyNumberFormat="1" applyFont="1"/>
    <xf numFmtId="0" fontId="9" fillId="0" borderId="0" xfId="0" applyFont="1" applyAlignment="1">
      <alignment horizontal="right"/>
    </xf>
    <xf numFmtId="0" fontId="2" fillId="0" borderId="0" xfId="0" applyFont="1" applyFill="1"/>
    <xf numFmtId="0" fontId="3" fillId="0" borderId="0" xfId="0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C9DCF-4E7D-724B-8553-438084A095B6}">
  <dimension ref="A1:BG134"/>
  <sheetViews>
    <sheetView tabSelected="1" view="pageLayout" topLeftCell="M50" zoomScale="87" zoomScaleNormal="59" zoomScalePageLayoutView="87" workbookViewId="0">
      <selection activeCell="D115" sqref="D115"/>
    </sheetView>
  </sheetViews>
  <sheetFormatPr baseColWidth="10" defaultRowHeight="16"/>
  <cols>
    <col min="1" max="1" width="11.83203125" style="5" customWidth="1"/>
    <col min="2" max="2" width="10.83203125" style="5"/>
    <col min="3" max="3" width="12.83203125" style="5" bestFit="1" customWidth="1"/>
    <col min="4" max="5" width="10.83203125" style="5"/>
    <col min="6" max="6" width="14.6640625" style="5" customWidth="1"/>
    <col min="7" max="7" width="19.83203125" style="5" customWidth="1"/>
    <col min="8" max="8" width="20.5" style="5" bestFit="1" customWidth="1"/>
    <col min="9" max="9" width="18.83203125" style="5" customWidth="1"/>
    <col min="10" max="10" width="17" style="5" customWidth="1"/>
    <col min="11" max="11" width="16.6640625" style="5" customWidth="1"/>
    <col min="12" max="12" width="14.5" style="5" customWidth="1"/>
    <col min="13" max="13" width="12.33203125" style="5" customWidth="1"/>
    <col min="14" max="14" width="13.33203125" style="5" customWidth="1"/>
    <col min="15" max="15" width="7.5" style="5" customWidth="1"/>
    <col min="16" max="16" width="8.33203125" style="5" customWidth="1"/>
    <col min="17" max="17" width="14.1640625" style="5" customWidth="1"/>
    <col min="18" max="18" width="15.6640625" style="5" customWidth="1"/>
    <col min="19" max="19" width="14.1640625" style="5" customWidth="1"/>
    <col min="20" max="20" width="17.1640625" style="10" customWidth="1"/>
    <col min="21" max="21" width="13.5" style="5" customWidth="1"/>
    <col min="22" max="23" width="14.5" style="5" bestFit="1" customWidth="1"/>
    <col min="24" max="24" width="13" style="5" customWidth="1"/>
    <col min="25" max="25" width="9" style="5" customWidth="1"/>
    <col min="26" max="26" width="13.83203125" style="5" customWidth="1"/>
    <col min="27" max="27" width="15" style="5" customWidth="1"/>
    <col min="28" max="28" width="14.6640625" style="5" customWidth="1"/>
    <col min="29" max="29" width="15.33203125" style="5" customWidth="1"/>
    <col min="30" max="30" width="16.5" style="5" customWidth="1"/>
    <col min="31" max="31" width="13.6640625" style="5" customWidth="1"/>
    <col min="32" max="32" width="15" style="5" customWidth="1"/>
    <col min="33" max="33" width="14.5" style="5" bestFit="1" customWidth="1"/>
    <col min="34" max="34" width="10.83203125" style="5" customWidth="1"/>
    <col min="35" max="35" width="13.5" style="5" customWidth="1"/>
    <col min="36" max="36" width="14.5" style="5" customWidth="1"/>
    <col min="37" max="38" width="14.6640625" style="5" customWidth="1"/>
    <col min="39" max="39" width="14.33203125" style="5" customWidth="1"/>
    <col min="40" max="40" width="11.1640625" style="5" bestFit="1" customWidth="1"/>
    <col min="41" max="41" width="13.6640625" style="5" customWidth="1"/>
    <col min="42" max="42" width="13.5" style="5" customWidth="1"/>
    <col min="43" max="43" width="12.83203125" style="5" customWidth="1"/>
    <col min="44" max="44" width="8" style="5" customWidth="1"/>
    <col min="45" max="45" width="12.83203125" style="5" bestFit="1" customWidth="1"/>
    <col min="46" max="46" width="14.5" style="5" bestFit="1" customWidth="1"/>
    <col min="47" max="47" width="15.6640625" style="5" customWidth="1"/>
    <col min="48" max="53" width="10.83203125" style="5"/>
    <col min="54" max="54" width="4.33203125" style="5" customWidth="1"/>
    <col min="55" max="55" width="8.5" style="5" customWidth="1"/>
    <col min="56" max="56" width="10.83203125" style="5"/>
    <col min="57" max="58" width="14.6640625" style="5" customWidth="1"/>
    <col min="59" max="59" width="14.5" style="5" customWidth="1"/>
    <col min="60" max="16384" width="10.83203125" style="5"/>
  </cols>
  <sheetData>
    <row r="1" spans="1:59">
      <c r="A1" s="4" t="s">
        <v>0</v>
      </c>
      <c r="J1" s="13" t="s">
        <v>17</v>
      </c>
      <c r="K1" s="14"/>
      <c r="L1" s="14"/>
      <c r="M1" s="14"/>
      <c r="N1" s="14"/>
      <c r="O1" s="14"/>
      <c r="P1" s="14"/>
      <c r="Q1" s="14"/>
      <c r="R1" s="17"/>
      <c r="S1" s="14"/>
      <c r="T1" s="2" t="s">
        <v>75</v>
      </c>
      <c r="AC1" s="2" t="s">
        <v>63</v>
      </c>
      <c r="AL1" s="2" t="s">
        <v>30</v>
      </c>
      <c r="AV1" s="4" t="s">
        <v>28</v>
      </c>
      <c r="AX1" s="2"/>
      <c r="AY1" s="2"/>
    </row>
    <row r="2" spans="1:59">
      <c r="B2" s="4" t="s">
        <v>1</v>
      </c>
      <c r="G2" s="7" t="s">
        <v>4</v>
      </c>
      <c r="H2" s="7" t="s">
        <v>5</v>
      </c>
      <c r="J2" s="14"/>
      <c r="K2" s="14"/>
      <c r="L2" s="14"/>
      <c r="M2" s="14"/>
      <c r="N2" s="14"/>
      <c r="O2" s="14"/>
      <c r="P2" s="14"/>
      <c r="Q2" s="14"/>
      <c r="R2" s="17"/>
      <c r="S2" s="14"/>
      <c r="AC2" s="2" t="s">
        <v>101</v>
      </c>
      <c r="AV2" s="4" t="s">
        <v>36</v>
      </c>
      <c r="AY2" s="6"/>
    </row>
    <row r="3" spans="1:59">
      <c r="G3" s="10"/>
      <c r="H3" s="10"/>
      <c r="J3" s="13" t="s">
        <v>74</v>
      </c>
      <c r="K3" s="14"/>
      <c r="L3" s="14"/>
      <c r="M3" s="14"/>
      <c r="N3" s="14"/>
      <c r="O3" s="14"/>
      <c r="P3" s="14"/>
      <c r="Q3" s="14"/>
      <c r="R3" s="17"/>
      <c r="S3" s="14"/>
      <c r="T3" s="2" t="s">
        <v>90</v>
      </c>
      <c r="AC3" s="2" t="s">
        <v>89</v>
      </c>
      <c r="AL3" s="4" t="s">
        <v>18</v>
      </c>
      <c r="AS3" s="7" t="s">
        <v>20</v>
      </c>
      <c r="AT3" s="7" t="s">
        <v>4</v>
      </c>
      <c r="AU3" s="7" t="s">
        <v>5</v>
      </c>
      <c r="BE3" s="7" t="s">
        <v>20</v>
      </c>
      <c r="BF3" s="7" t="s">
        <v>4</v>
      </c>
      <c r="BG3" s="7" t="s">
        <v>5</v>
      </c>
    </row>
    <row r="4" spans="1:59">
      <c r="A4" s="5" t="s">
        <v>2</v>
      </c>
      <c r="G4" s="10"/>
      <c r="H4" s="10"/>
      <c r="J4" s="13" t="s">
        <v>91</v>
      </c>
      <c r="K4" s="14"/>
      <c r="L4" s="14"/>
      <c r="M4" s="14"/>
      <c r="N4" s="14"/>
      <c r="O4" s="14"/>
      <c r="P4" s="14"/>
      <c r="Q4" s="14"/>
      <c r="R4" s="17"/>
      <c r="S4" s="14"/>
      <c r="T4" s="5"/>
      <c r="AL4" s="4" t="s">
        <v>19</v>
      </c>
      <c r="AV4" s="2" t="s">
        <v>117</v>
      </c>
    </row>
    <row r="5" spans="1:59">
      <c r="A5" s="5" t="s">
        <v>3</v>
      </c>
      <c r="G5" s="10"/>
      <c r="H5" s="10"/>
      <c r="J5" s="14"/>
      <c r="K5" s="14"/>
      <c r="L5" s="14"/>
      <c r="M5" s="14"/>
      <c r="N5" s="14"/>
      <c r="O5" s="14"/>
      <c r="P5" s="14"/>
      <c r="Q5" s="14"/>
      <c r="R5" s="17"/>
      <c r="S5" s="14"/>
      <c r="T5" s="4" t="s">
        <v>18</v>
      </c>
      <c r="Z5" s="7" t="s">
        <v>20</v>
      </c>
      <c r="AA5" s="7" t="s">
        <v>4</v>
      </c>
      <c r="AB5" s="7" t="s">
        <v>5</v>
      </c>
      <c r="AC5" s="4" t="s">
        <v>18</v>
      </c>
      <c r="AI5" s="7" t="s">
        <v>20</v>
      </c>
      <c r="AJ5" s="7" t="s">
        <v>4</v>
      </c>
      <c r="AK5" s="7" t="s">
        <v>5</v>
      </c>
      <c r="AL5" s="31" t="s">
        <v>104</v>
      </c>
      <c r="AS5" s="10">
        <f>(AU5*0.15)/1.15</f>
        <v>30116.621739130434</v>
      </c>
      <c r="AT5" s="10"/>
      <c r="AU5" s="10">
        <v>230894.1</v>
      </c>
      <c r="AV5" s="5" t="s">
        <v>118</v>
      </c>
    </row>
    <row r="6" spans="1:59">
      <c r="G6" s="10"/>
      <c r="H6" s="10"/>
      <c r="J6" s="15" t="s">
        <v>18</v>
      </c>
      <c r="K6" s="14"/>
      <c r="L6" s="14"/>
      <c r="M6" s="14"/>
      <c r="N6" s="14"/>
      <c r="O6" s="14"/>
      <c r="P6" s="14"/>
      <c r="Q6" s="16" t="s">
        <v>20</v>
      </c>
      <c r="R6" s="18" t="s">
        <v>4</v>
      </c>
      <c r="S6" s="16" t="s">
        <v>5</v>
      </c>
      <c r="T6" s="4" t="s">
        <v>19</v>
      </c>
      <c r="AC6" s="4" t="s">
        <v>19</v>
      </c>
      <c r="AL6" s="5" t="s">
        <v>105</v>
      </c>
      <c r="AS6" s="10">
        <f>(AU6*0.15)/1.15</f>
        <v>5700</v>
      </c>
      <c r="AT6" s="10"/>
      <c r="AU6" s="10">
        <v>43700</v>
      </c>
      <c r="AV6" s="5" t="s">
        <v>119</v>
      </c>
    </row>
    <row r="7" spans="1:59">
      <c r="A7" s="2" t="s">
        <v>6</v>
      </c>
      <c r="G7" s="10"/>
      <c r="H7" s="10"/>
      <c r="J7" s="15" t="s">
        <v>19</v>
      </c>
      <c r="K7" s="14"/>
      <c r="L7" s="14"/>
      <c r="M7" s="14"/>
      <c r="N7" s="14"/>
      <c r="O7" s="14"/>
      <c r="P7" s="14"/>
      <c r="Q7" s="14"/>
      <c r="R7" s="17"/>
      <c r="S7" s="14"/>
      <c r="T7" s="5" t="s">
        <v>80</v>
      </c>
      <c r="Z7" s="10">
        <f>(G79*0.15)/1.15</f>
        <v>456521.73913043481</v>
      </c>
      <c r="AB7" s="12">
        <f>G39</f>
        <v>3500000</v>
      </c>
      <c r="AC7" s="5" t="s">
        <v>83</v>
      </c>
      <c r="AL7" s="5" t="s">
        <v>106</v>
      </c>
      <c r="AS7" s="10">
        <f>(AU7*0.15)/1.15</f>
        <v>15766.533913043479</v>
      </c>
      <c r="AT7" s="10"/>
      <c r="AU7" s="10">
        <v>120876.76</v>
      </c>
    </row>
    <row r="8" spans="1:59">
      <c r="G8" s="10"/>
      <c r="H8" s="10"/>
      <c r="J8" s="14" t="s">
        <v>81</v>
      </c>
      <c r="K8" s="14"/>
      <c r="L8" s="14"/>
      <c r="M8" s="14"/>
      <c r="N8" s="14"/>
      <c r="O8" s="14"/>
      <c r="P8" s="14"/>
      <c r="Q8" s="17">
        <f>(G70*0.15)/1.15</f>
        <v>1186956.5217391306</v>
      </c>
      <c r="S8" s="17">
        <f>G38</f>
        <v>9100000</v>
      </c>
      <c r="T8" s="5"/>
      <c r="AC8" s="5" t="s">
        <v>84</v>
      </c>
      <c r="AI8" s="12">
        <f>(G40*0.15)/1.15</f>
        <v>150000</v>
      </c>
      <c r="AJ8" s="12"/>
      <c r="AK8" s="10">
        <v>1150000</v>
      </c>
      <c r="AL8" s="5" t="s">
        <v>107</v>
      </c>
      <c r="AS8" s="10"/>
      <c r="AT8" s="10"/>
      <c r="AU8" s="10">
        <v>88405.08</v>
      </c>
      <c r="AV8" s="2" t="s">
        <v>120</v>
      </c>
    </row>
    <row r="9" spans="1:59">
      <c r="A9" s="5" t="s">
        <v>7</v>
      </c>
      <c r="G9" s="10">
        <f>I51</f>
        <v>275000</v>
      </c>
      <c r="H9" s="10"/>
      <c r="J9" s="14" t="s">
        <v>82</v>
      </c>
      <c r="K9" s="14"/>
      <c r="L9" s="14"/>
      <c r="M9" s="14"/>
      <c r="N9" s="14"/>
      <c r="O9" s="14"/>
      <c r="P9" s="14"/>
      <c r="Q9" s="17"/>
      <c r="R9" s="17"/>
      <c r="S9" s="14"/>
      <c r="T9" s="5"/>
      <c r="AL9" s="5" t="s">
        <v>31</v>
      </c>
      <c r="AS9" s="10"/>
      <c r="AT9" s="10"/>
      <c r="AU9" s="10">
        <f>R31</f>
        <v>87350.700183520094</v>
      </c>
      <c r="AV9" s="5" t="s">
        <v>118</v>
      </c>
    </row>
    <row r="10" spans="1:59">
      <c r="A10" s="5" t="s">
        <v>8</v>
      </c>
      <c r="G10" s="10">
        <f>I75++I84+I93+I102</f>
        <v>879393.873135</v>
      </c>
      <c r="H10" s="10"/>
      <c r="J10" s="14"/>
      <c r="K10" s="14"/>
      <c r="L10" s="14"/>
      <c r="M10" s="14"/>
      <c r="N10" s="14"/>
      <c r="O10" s="14"/>
      <c r="P10" s="14"/>
      <c r="Q10" s="17"/>
      <c r="R10" s="17"/>
      <c r="S10" s="14"/>
      <c r="T10" s="5"/>
      <c r="AC10" s="4" t="s">
        <v>21</v>
      </c>
      <c r="AL10" s="5" t="s">
        <v>108</v>
      </c>
      <c r="AS10" s="10"/>
      <c r="AT10" s="10"/>
      <c r="AU10" s="10">
        <f>AA30</f>
        <v>269153.86604168965</v>
      </c>
    </row>
    <row r="11" spans="1:59">
      <c r="A11" s="5" t="s">
        <v>9</v>
      </c>
      <c r="G11" s="10"/>
      <c r="H11" s="10"/>
      <c r="J11" s="15" t="s">
        <v>21</v>
      </c>
      <c r="K11" s="14"/>
      <c r="L11" s="14"/>
      <c r="M11" s="14"/>
      <c r="N11" s="14"/>
      <c r="O11" s="14"/>
      <c r="P11" s="14"/>
      <c r="Q11" s="17"/>
      <c r="R11" s="17"/>
      <c r="S11" s="14"/>
      <c r="T11" s="4" t="s">
        <v>21</v>
      </c>
      <c r="AC11" s="5" t="s">
        <v>22</v>
      </c>
      <c r="AI11" s="5">
        <v>0</v>
      </c>
      <c r="AJ11" s="12">
        <f>H40</f>
        <v>22218.122550251763</v>
      </c>
      <c r="AL11" s="5" t="s">
        <v>125</v>
      </c>
      <c r="AQ11" s="32"/>
      <c r="AS11" s="34"/>
      <c r="AT11" s="34"/>
      <c r="AU11" s="10">
        <f>AJ27</f>
        <v>-123323.85236404999</v>
      </c>
      <c r="AV11" s="2" t="s">
        <v>121</v>
      </c>
    </row>
    <row r="12" spans="1:59">
      <c r="A12" s="5" t="s">
        <v>10</v>
      </c>
      <c r="G12" s="10"/>
      <c r="H12" s="10"/>
      <c r="J12" s="14" t="s">
        <v>22</v>
      </c>
      <c r="K12" s="14"/>
      <c r="L12" s="14"/>
      <c r="M12" s="14"/>
      <c r="N12" s="14"/>
      <c r="O12" s="14"/>
      <c r="P12" s="14"/>
      <c r="Q12" s="5">
        <v>0</v>
      </c>
      <c r="R12" s="17">
        <f>H38</f>
        <v>175812.96974547047</v>
      </c>
      <c r="S12" s="14"/>
      <c r="T12" s="5" t="s">
        <v>22</v>
      </c>
      <c r="Z12" s="5">
        <v>0</v>
      </c>
      <c r="AA12" s="12">
        <f>H39</f>
        <v>67620.372979027103</v>
      </c>
      <c r="AC12" s="5" t="s">
        <v>78</v>
      </c>
      <c r="AI12" s="12">
        <f>(AJ12*0.15)/1.15</f>
        <v>547.98847712873919</v>
      </c>
      <c r="AJ12" s="12">
        <f>I40</f>
        <v>4201.2449913203336</v>
      </c>
      <c r="AV12" s="5" t="s">
        <v>118</v>
      </c>
    </row>
    <row r="13" spans="1:59">
      <c r="A13" s="5" t="s">
        <v>11</v>
      </c>
      <c r="G13" s="10"/>
      <c r="H13" s="10"/>
      <c r="J13" s="14" t="s">
        <v>78</v>
      </c>
      <c r="K13" s="14"/>
      <c r="L13" s="14"/>
      <c r="M13" s="14"/>
      <c r="N13" s="14"/>
      <c r="O13" s="14"/>
      <c r="P13" s="14"/>
      <c r="Q13" s="12">
        <f>(R13*0.15)/1.15</f>
        <v>4336.2566451056755</v>
      </c>
      <c r="R13" s="17">
        <f>I38</f>
        <v>33244.634279143509</v>
      </c>
      <c r="S13" s="14"/>
      <c r="T13" s="5" t="s">
        <v>78</v>
      </c>
      <c r="Z13" s="12">
        <f>(AA13*0.15)/1.15</f>
        <v>1667.7910173483365</v>
      </c>
      <c r="AA13" s="12">
        <f>I39</f>
        <v>12786.39779967058</v>
      </c>
      <c r="AC13" s="32" t="s">
        <v>23</v>
      </c>
      <c r="AD13" s="32"/>
      <c r="AE13" s="32"/>
      <c r="AF13" s="32"/>
      <c r="AG13" s="32"/>
      <c r="AH13" s="32"/>
      <c r="AI13" s="33">
        <f>(AJ13*0.15)/1.15</f>
        <v>16912.5</v>
      </c>
      <c r="AJ13" s="34">
        <f>I93</f>
        <v>129662.5</v>
      </c>
      <c r="AL13" s="2" t="s">
        <v>21</v>
      </c>
      <c r="AS13" s="10"/>
      <c r="AT13" s="34"/>
      <c r="AU13" s="10"/>
    </row>
    <row r="14" spans="1:59">
      <c r="A14" s="5" t="s">
        <v>12</v>
      </c>
      <c r="G14" s="10"/>
      <c r="H14" s="10"/>
      <c r="J14" s="14" t="s">
        <v>23</v>
      </c>
      <c r="K14" s="14"/>
      <c r="L14" s="14"/>
      <c r="M14" s="14"/>
      <c r="N14" s="14"/>
      <c r="O14" s="14"/>
      <c r="P14" s="14"/>
      <c r="Q14" s="17">
        <f>R14*0.15</f>
        <v>46171.125</v>
      </c>
      <c r="R14" s="17">
        <f>I75</f>
        <v>307807.5</v>
      </c>
      <c r="S14" s="14"/>
      <c r="T14" s="5" t="s">
        <v>23</v>
      </c>
      <c r="Z14" s="12">
        <f>AA14*0.15</f>
        <v>51472.82608695652</v>
      </c>
      <c r="AA14" s="12">
        <f>I81</f>
        <v>343152.17391304346</v>
      </c>
      <c r="AL14" s="5" t="s">
        <v>22</v>
      </c>
      <c r="AS14" s="10">
        <v>0</v>
      </c>
      <c r="AT14" s="10">
        <f>H41</f>
        <v>9348.534725250669</v>
      </c>
      <c r="AU14" s="10"/>
      <c r="AV14" s="2" t="s">
        <v>122</v>
      </c>
    </row>
    <row r="15" spans="1:59">
      <c r="G15" s="10"/>
      <c r="H15" s="10"/>
      <c r="J15" s="14" t="s">
        <v>79</v>
      </c>
      <c r="K15" s="14"/>
      <c r="L15" s="14"/>
      <c r="M15" s="14"/>
      <c r="N15" s="14"/>
      <c r="O15" s="14"/>
      <c r="P15" s="14"/>
      <c r="Q15" s="17"/>
      <c r="R15" s="17"/>
      <c r="S15" s="14"/>
      <c r="T15" s="5" t="s">
        <v>92</v>
      </c>
      <c r="Z15" s="10">
        <f>(AA15*0.15)/1.15</f>
        <v>3732.1004347826092</v>
      </c>
      <c r="AA15" s="10">
        <v>28612.77</v>
      </c>
      <c r="AL15" s="5" t="s">
        <v>109</v>
      </c>
      <c r="AS15" s="10">
        <f>(AT15*0.15)/1.15</f>
        <v>230.57255606942365</v>
      </c>
      <c r="AT15" s="10">
        <f>I41</f>
        <v>1767.7229298655811</v>
      </c>
      <c r="AU15" s="10"/>
      <c r="AV15" s="5" t="s">
        <v>118</v>
      </c>
    </row>
    <row r="16" spans="1:59">
      <c r="G16" s="10"/>
      <c r="H16" s="10"/>
      <c r="J16" s="14" t="s">
        <v>24</v>
      </c>
      <c r="K16" s="14"/>
      <c r="L16" s="14"/>
      <c r="M16" s="14"/>
      <c r="N16" s="14"/>
      <c r="O16" s="14"/>
      <c r="P16" s="14"/>
      <c r="Q16" s="17">
        <v>0</v>
      </c>
      <c r="R16" s="17">
        <v>124897.5</v>
      </c>
      <c r="S16" s="14"/>
      <c r="T16" s="5" t="s">
        <v>110</v>
      </c>
      <c r="Z16" s="12">
        <f>(I111*0.15)/1.15</f>
        <v>15773.301996387063</v>
      </c>
      <c r="AA16" s="12">
        <f>I111</f>
        <v>120928.64863896747</v>
      </c>
      <c r="AC16" s="5" t="s">
        <v>26</v>
      </c>
      <c r="AJ16" s="12">
        <f>AI8-(AI11+AI12+AI13)</f>
        <v>132539.51152287127</v>
      </c>
      <c r="AL16" s="5" t="s">
        <v>23</v>
      </c>
      <c r="AS16" s="10">
        <f>(AT16*0.15)/1.15</f>
        <v>6169.4182350000001</v>
      </c>
      <c r="AT16" s="10">
        <f>I102</f>
        <v>47298.873135000002</v>
      </c>
      <c r="AU16" s="10"/>
    </row>
    <row r="17" spans="1:48">
      <c r="A17" s="2" t="s">
        <v>13</v>
      </c>
      <c r="G17" s="10"/>
      <c r="H17" s="10"/>
      <c r="J17" s="14" t="s">
        <v>25</v>
      </c>
      <c r="K17" s="14"/>
      <c r="L17" s="14"/>
      <c r="M17" s="14"/>
      <c r="N17" s="14"/>
      <c r="O17" s="14"/>
      <c r="P17" s="14"/>
      <c r="Q17" s="17">
        <v>0</v>
      </c>
      <c r="R17" s="17"/>
      <c r="S17" s="14"/>
      <c r="AL17" s="5" t="s">
        <v>115</v>
      </c>
      <c r="AS17" s="10">
        <f>(AT17*0.15)/1.15</f>
        <v>2430.251739130435</v>
      </c>
      <c r="AT17" s="10">
        <v>18631.93</v>
      </c>
      <c r="AU17" s="10"/>
      <c r="AV17" s="2" t="s">
        <v>37</v>
      </c>
    </row>
    <row r="18" spans="1:48">
      <c r="A18" s="5" t="s">
        <v>99</v>
      </c>
      <c r="G18" s="10">
        <f>R26</f>
        <v>9012649.2998164799</v>
      </c>
      <c r="H18" s="10"/>
      <c r="J18" s="5" t="s">
        <v>110</v>
      </c>
      <c r="K18" s="14"/>
      <c r="L18" s="14"/>
      <c r="M18" s="14"/>
      <c r="N18" s="14"/>
      <c r="O18" s="14"/>
      <c r="P18" s="14"/>
      <c r="Q18" s="17">
        <f>(I74*0.15)/1.15</f>
        <v>5236.8005671077499</v>
      </c>
      <c r="R18" s="17">
        <f>I110</f>
        <v>314414.48646131542</v>
      </c>
      <c r="S18" s="14"/>
      <c r="AC18" s="5" t="s">
        <v>27</v>
      </c>
      <c r="AJ18" s="26">
        <f>AJ11+AJ12+AJ13+AJ16</f>
        <v>288621.3790644434</v>
      </c>
      <c r="AL18" s="5" t="s">
        <v>116</v>
      </c>
      <c r="AS18" s="10">
        <f>(AT18*0.15)/1.15</f>
        <v>3231.528899963102</v>
      </c>
      <c r="AT18" s="10">
        <f>I112</f>
        <v>24775.054899717114</v>
      </c>
      <c r="AU18" s="10"/>
      <c r="AV18" s="5" t="s">
        <v>127</v>
      </c>
    </row>
    <row r="19" spans="1:48">
      <c r="A19" s="5" t="s">
        <v>85</v>
      </c>
      <c r="G19" s="10">
        <f>AA26</f>
        <v>3230846.1339583104</v>
      </c>
      <c r="H19" s="10"/>
      <c r="R19" s="17"/>
      <c r="S19" s="14"/>
      <c r="T19" s="5" t="s">
        <v>76</v>
      </c>
      <c r="AA19" s="12">
        <f>Z7-(Z13+Z14+Z15+Z16)</f>
        <v>383875.71959496028</v>
      </c>
      <c r="AL19" s="5" t="s">
        <v>128</v>
      </c>
      <c r="AS19" s="10"/>
      <c r="AT19" s="10">
        <v>15000</v>
      </c>
      <c r="AU19" s="10"/>
      <c r="AV19" s="5" t="s">
        <v>126</v>
      </c>
    </row>
    <row r="20" spans="1:48">
      <c r="A20" s="5" t="s">
        <v>88</v>
      </c>
      <c r="G20" s="10">
        <f>AJ23</f>
        <v>1273323.85236405</v>
      </c>
      <c r="H20" s="10"/>
      <c r="J20" s="14" t="s">
        <v>76</v>
      </c>
      <c r="K20" s="14"/>
      <c r="L20" s="14"/>
      <c r="M20" s="14"/>
      <c r="N20" s="14"/>
      <c r="O20" s="14"/>
      <c r="P20" s="14"/>
      <c r="R20" s="17">
        <f>Q8-(Q13+Q14+Q18)</f>
        <v>1131212.3395269171</v>
      </c>
      <c r="S20" s="14"/>
      <c r="AC20" s="5" t="s">
        <v>28</v>
      </c>
    </row>
    <row r="21" spans="1:48">
      <c r="G21" s="10"/>
      <c r="H21" s="10"/>
      <c r="J21" s="14"/>
      <c r="K21" s="14"/>
      <c r="L21" s="14"/>
      <c r="M21" s="14"/>
      <c r="N21" s="14"/>
      <c r="O21" s="14"/>
      <c r="P21" s="14"/>
      <c r="Q21" s="17"/>
      <c r="R21" s="17"/>
      <c r="S21" s="14"/>
      <c r="T21" s="5"/>
      <c r="Z21" s="12"/>
      <c r="AL21" s="2" t="s">
        <v>32</v>
      </c>
      <c r="AS21" s="10"/>
      <c r="AT21" s="10"/>
      <c r="AU21" s="10"/>
    </row>
    <row r="22" spans="1:48">
      <c r="A22" s="2" t="s">
        <v>14</v>
      </c>
      <c r="G22" s="10"/>
      <c r="H22" s="10"/>
      <c r="J22" s="14" t="s">
        <v>27</v>
      </c>
      <c r="K22" s="14"/>
      <c r="L22" s="14"/>
      <c r="M22" s="14"/>
      <c r="N22" s="14"/>
      <c r="O22" s="14"/>
      <c r="P22" s="14"/>
      <c r="Q22" s="14"/>
      <c r="R22" s="30">
        <f>R12+R13+R14+R16+R18+R20</f>
        <v>2087389.4300128464</v>
      </c>
      <c r="S22" s="14"/>
      <c r="T22" s="5" t="s">
        <v>27</v>
      </c>
      <c r="AA22" s="26">
        <f>AA12+AA13+AA14+AA15+AA16+AA19</f>
        <v>956976.08292566892</v>
      </c>
      <c r="AC22" s="5" t="s">
        <v>100</v>
      </c>
      <c r="AI22" s="12"/>
      <c r="AL22" s="5" t="s">
        <v>33</v>
      </c>
      <c r="AS22" s="10">
        <f>(AT22*0.15)/1.15</f>
        <v>120.00000000000001</v>
      </c>
      <c r="AT22" s="10">
        <v>920</v>
      </c>
      <c r="AU22" s="10"/>
    </row>
    <row r="23" spans="1:48">
      <c r="A23" s="5" t="s">
        <v>117</v>
      </c>
      <c r="G23" s="10"/>
      <c r="H23" s="10"/>
      <c r="J23" s="14"/>
      <c r="K23" s="14"/>
      <c r="L23" s="14"/>
      <c r="M23" s="14"/>
      <c r="N23" s="14"/>
      <c r="O23" s="14"/>
      <c r="P23" s="14"/>
      <c r="Q23" s="14"/>
      <c r="R23" s="17"/>
      <c r="S23" s="14"/>
      <c r="T23" s="5"/>
      <c r="AC23" s="5" t="s">
        <v>103</v>
      </c>
      <c r="AD23" s="10"/>
      <c r="AG23" s="10">
        <v>1261052.55</v>
      </c>
      <c r="AJ23" s="12">
        <f>AG23+AG24</f>
        <v>1273323.85236405</v>
      </c>
      <c r="AL23" s="5" t="s">
        <v>111</v>
      </c>
      <c r="AS23" s="10">
        <f>(AT23*0.15)/1.15</f>
        <v>11.454782608695652</v>
      </c>
      <c r="AT23" s="10">
        <v>87.82</v>
      </c>
      <c r="AU23" s="10"/>
    </row>
    <row r="24" spans="1:48">
      <c r="A24" s="5" t="s">
        <v>120</v>
      </c>
      <c r="G24" s="10"/>
      <c r="H24" s="10"/>
      <c r="J24" s="14" t="s">
        <v>28</v>
      </c>
      <c r="K24" s="14"/>
      <c r="L24" s="14"/>
      <c r="M24" s="14"/>
      <c r="N24" s="14"/>
      <c r="O24" s="14"/>
      <c r="P24" s="14"/>
      <c r="Q24" s="29"/>
      <c r="R24" s="17"/>
      <c r="S24" s="14"/>
      <c r="T24" s="5" t="s">
        <v>28</v>
      </c>
      <c r="AC24" s="5" t="s">
        <v>97</v>
      </c>
      <c r="AG24" s="12">
        <f>((AG23*0.185)*0.526)/10</f>
        <v>12271.30236405</v>
      </c>
      <c r="AL24" s="5" t="s">
        <v>112</v>
      </c>
      <c r="AS24" s="10">
        <f>(AT24*0.15)/1.15</f>
        <v>11.454782608695652</v>
      </c>
      <c r="AT24" s="10">
        <v>87.82</v>
      </c>
      <c r="AU24" s="10"/>
    </row>
    <row r="25" spans="1:48">
      <c r="A25" s="5" t="s">
        <v>121</v>
      </c>
      <c r="G25" s="10"/>
      <c r="H25" s="10"/>
      <c r="J25" s="14"/>
      <c r="K25" s="14"/>
      <c r="L25" s="14"/>
      <c r="M25" s="14"/>
      <c r="N25" s="14"/>
      <c r="O25" s="14"/>
      <c r="P25" s="14"/>
      <c r="Q25" s="29"/>
      <c r="R25" s="17"/>
      <c r="S25" s="14"/>
      <c r="T25" s="5"/>
      <c r="Z25" s="12"/>
      <c r="AC25" s="14" t="s">
        <v>95</v>
      </c>
      <c r="AJ25" s="12"/>
      <c r="AL25" s="5" t="s">
        <v>34</v>
      </c>
      <c r="AS25" s="10">
        <f>(AT25*0.15)/1.15</f>
        <v>11.454782608695652</v>
      </c>
      <c r="AT25" s="10">
        <v>87.82</v>
      </c>
      <c r="AU25" s="10"/>
    </row>
    <row r="26" spans="1:48">
      <c r="A26" s="5" t="s">
        <v>122</v>
      </c>
      <c r="G26" s="10"/>
      <c r="H26" s="10"/>
      <c r="J26" s="14" t="s">
        <v>98</v>
      </c>
      <c r="K26" s="14"/>
      <c r="L26" s="14"/>
      <c r="M26" s="14"/>
      <c r="N26" s="28">
        <v>8946765.3200000003</v>
      </c>
      <c r="O26" s="14"/>
      <c r="P26" s="14"/>
      <c r="R26" s="29">
        <f>N26+N27</f>
        <v>9012649.2998164799</v>
      </c>
      <c r="S26" s="14"/>
      <c r="T26" s="5" t="s">
        <v>102</v>
      </c>
      <c r="X26" s="8">
        <v>3203046.89</v>
      </c>
      <c r="AA26" s="12">
        <f>X26+X27</f>
        <v>3230846.1339583104</v>
      </c>
      <c r="AL26" s="5" t="s">
        <v>113</v>
      </c>
      <c r="AS26" s="10">
        <f>(AT26*0.15)/1.15</f>
        <v>52.173913043478265</v>
      </c>
      <c r="AT26" s="10">
        <v>400</v>
      </c>
      <c r="AU26" s="10"/>
    </row>
    <row r="27" spans="1:48">
      <c r="A27" s="5" t="s">
        <v>37</v>
      </c>
      <c r="G27" s="10"/>
      <c r="H27" s="10"/>
      <c r="J27" s="14" t="s">
        <v>96</v>
      </c>
      <c r="K27" s="14"/>
      <c r="M27" s="14"/>
      <c r="N27" s="17">
        <f>((8946765.32*0.14)*0.526)/10</f>
        <v>65883.979816480001</v>
      </c>
      <c r="O27" s="14"/>
      <c r="P27" s="14"/>
      <c r="Q27" s="14"/>
      <c r="R27" s="17"/>
      <c r="S27" s="14"/>
      <c r="T27" s="5" t="s">
        <v>97</v>
      </c>
      <c r="X27" s="10">
        <f>((X26*0.165)*0.526)/10</f>
        <v>27799.243958310009</v>
      </c>
      <c r="AC27" s="5" t="s">
        <v>29</v>
      </c>
      <c r="AJ27" s="12">
        <f>AK8-AJ23</f>
        <v>-123323.85236404999</v>
      </c>
      <c r="AL27" s="5" t="s">
        <v>114</v>
      </c>
      <c r="AS27" s="10">
        <f>(AT27*0.15)/1.15</f>
        <v>134.34782608695653</v>
      </c>
      <c r="AT27" s="10">
        <v>1030</v>
      </c>
      <c r="AU27" s="10"/>
    </row>
    <row r="28" spans="1:48">
      <c r="G28" s="10"/>
      <c r="H28" s="10"/>
      <c r="N28" s="27"/>
      <c r="O28" s="14"/>
      <c r="P28" s="14"/>
      <c r="R28" s="17"/>
      <c r="S28" s="14"/>
      <c r="T28" s="14" t="s">
        <v>94</v>
      </c>
      <c r="Z28" s="12"/>
      <c r="AJ28" s="12"/>
      <c r="AS28" s="10"/>
      <c r="AT28" s="11"/>
      <c r="AU28" s="11"/>
    </row>
    <row r="29" spans="1:48">
      <c r="I29" s="10"/>
      <c r="J29" s="14" t="s">
        <v>93</v>
      </c>
      <c r="K29" s="14"/>
      <c r="L29" s="14"/>
      <c r="M29" s="14"/>
      <c r="N29" s="14"/>
      <c r="O29" s="14"/>
      <c r="P29" s="14"/>
      <c r="Q29" s="14"/>
      <c r="R29" s="17"/>
      <c r="S29" s="14"/>
      <c r="AL29" s="5" t="s">
        <v>35</v>
      </c>
      <c r="AT29" s="12">
        <f>AS5+AS6+AS7+AS15+AS16+AS17+AS18+AS22+AS23+AS24+AS25+AS26+AS27</f>
        <v>63985.813169293397</v>
      </c>
    </row>
    <row r="30" spans="1:48">
      <c r="I30" s="10"/>
      <c r="J30" s="14"/>
      <c r="K30" s="14"/>
      <c r="M30" s="14"/>
      <c r="N30" s="14"/>
      <c r="O30" s="14"/>
      <c r="P30" s="14"/>
      <c r="Q30" s="29"/>
      <c r="R30" s="17"/>
      <c r="S30" s="14"/>
      <c r="T30" s="5" t="s">
        <v>29</v>
      </c>
      <c r="AA30" s="12">
        <f>AB7-AA26</f>
        <v>269153.86604168965</v>
      </c>
      <c r="AH30" s="2" t="s">
        <v>16</v>
      </c>
      <c r="AJ30" s="26">
        <f>AJ23+AJ27</f>
        <v>1150000</v>
      </c>
      <c r="AK30" s="26">
        <f>AK8</f>
        <v>1150000</v>
      </c>
    </row>
    <row r="31" spans="1:48">
      <c r="A31" s="5" t="s">
        <v>15</v>
      </c>
      <c r="I31" s="10"/>
      <c r="J31" s="14" t="s">
        <v>29</v>
      </c>
      <c r="K31" s="14"/>
      <c r="L31" s="14"/>
      <c r="M31" s="14"/>
      <c r="N31" s="29"/>
      <c r="O31" s="14"/>
      <c r="P31" s="14"/>
      <c r="Q31" s="14"/>
      <c r="R31" s="17">
        <f>S8-R26</f>
        <v>87350.700183520094</v>
      </c>
      <c r="S31" s="14"/>
      <c r="AL31" s="5" t="s">
        <v>27</v>
      </c>
      <c r="AT31" s="26">
        <f>AT14+AT15+AT16+AT17+AT18+AT19+AT22+AT23+AT24+AT25+AT26+AT27+AT29</f>
        <v>183421.38885912678</v>
      </c>
      <c r="AU31" s="26">
        <f>AU5+AU6+AU7+AU8+AU9+AU10+AU11</f>
        <v>717056.65386115969</v>
      </c>
    </row>
    <row r="32" spans="1:48">
      <c r="F32" s="2" t="s">
        <v>16</v>
      </c>
      <c r="I32" s="10"/>
      <c r="J32" s="14"/>
      <c r="K32" s="14"/>
      <c r="L32" s="14"/>
      <c r="M32" s="14"/>
      <c r="N32" s="14"/>
      <c r="O32" s="14"/>
      <c r="P32" s="13" t="s">
        <v>16</v>
      </c>
      <c r="Q32" s="36" t="s">
        <v>123</v>
      </c>
      <c r="R32" s="35">
        <f>R26+R31</f>
        <v>9100000</v>
      </c>
      <c r="S32" s="35">
        <f>S8</f>
        <v>9100000</v>
      </c>
      <c r="T32" s="5"/>
      <c r="Y32" s="2" t="s">
        <v>16</v>
      </c>
      <c r="Z32" s="36" t="s">
        <v>123</v>
      </c>
      <c r="AA32" s="26">
        <f>AA26+AA30</f>
        <v>3500000</v>
      </c>
      <c r="AB32" s="26">
        <f>AB7</f>
        <v>3500000</v>
      </c>
      <c r="AL32" s="5" t="s">
        <v>124</v>
      </c>
      <c r="AU32" s="26">
        <f>AU31-AT31</f>
        <v>533635.26500203297</v>
      </c>
    </row>
    <row r="33" spans="1:17">
      <c r="A33" s="2" t="s">
        <v>38</v>
      </c>
    </row>
    <row r="34" spans="1:17">
      <c r="A34" s="2" t="s">
        <v>39</v>
      </c>
    </row>
    <row r="35" spans="1:17">
      <c r="G35" s="22" t="s">
        <v>45</v>
      </c>
      <c r="H35" s="22" t="s">
        <v>46</v>
      </c>
      <c r="I35" s="22" t="s">
        <v>47</v>
      </c>
    </row>
    <row r="36" spans="1:17">
      <c r="B36" s="2" t="s">
        <v>40</v>
      </c>
    </row>
    <row r="37" spans="1:17">
      <c r="L37" s="9"/>
    </row>
    <row r="38" spans="1:17">
      <c r="A38" s="5" t="s">
        <v>41</v>
      </c>
      <c r="G38" s="10">
        <f>9100000</f>
        <v>9100000</v>
      </c>
      <c r="H38" s="10">
        <f>((G38/G42)*275)*1000</f>
        <v>175812.96974547047</v>
      </c>
      <c r="I38" s="10">
        <f>((G38/G42)*I42)</f>
        <v>33244.634279143509</v>
      </c>
      <c r="L38" s="12"/>
    </row>
    <row r="39" spans="1:17">
      <c r="A39" s="5" t="s">
        <v>42</v>
      </c>
      <c r="G39" s="10">
        <v>3500000</v>
      </c>
      <c r="H39" s="10">
        <f>((G39/G42)*275)*1000</f>
        <v>67620.372979027103</v>
      </c>
      <c r="I39" s="10">
        <f>((G39/G42)*I42)</f>
        <v>12786.39779967058</v>
      </c>
    </row>
    <row r="40" spans="1:17">
      <c r="A40" s="5" t="s">
        <v>43</v>
      </c>
      <c r="G40" s="10">
        <v>1150000</v>
      </c>
      <c r="H40" s="10">
        <f>((G40/G42)*275)*1000</f>
        <v>22218.122550251763</v>
      </c>
      <c r="I40" s="10">
        <f>((G40/G42)*I42)</f>
        <v>4201.2449913203336</v>
      </c>
      <c r="Q40" s="10"/>
    </row>
    <row r="41" spans="1:17">
      <c r="A41" s="5" t="s">
        <v>44</v>
      </c>
      <c r="G41" s="10">
        <v>483875.94</v>
      </c>
      <c r="H41" s="10">
        <f>((G41/G42)*275)*1000</f>
        <v>9348.534725250669</v>
      </c>
      <c r="I41" s="10">
        <f>((G41/G42)*I42)</f>
        <v>1767.7229298655811</v>
      </c>
      <c r="Q41" s="10"/>
    </row>
    <row r="42" spans="1:17">
      <c r="E42" s="2" t="s">
        <v>16</v>
      </c>
      <c r="F42" s="2"/>
      <c r="G42" s="11">
        <f>G38+G39+G40+G41</f>
        <v>14233875.939999999</v>
      </c>
      <c r="H42" s="11">
        <f>H38+H39+H40+H41</f>
        <v>275000</v>
      </c>
      <c r="I42" s="11">
        <v>52000</v>
      </c>
      <c r="Q42" s="10"/>
    </row>
    <row r="43" spans="1:17">
      <c r="G43" s="10"/>
      <c r="H43" s="10"/>
      <c r="I43" s="10"/>
      <c r="Q43" s="10"/>
    </row>
    <row r="44" spans="1:17">
      <c r="A44" s="4" t="s">
        <v>48</v>
      </c>
      <c r="G44" s="10"/>
      <c r="H44" s="10"/>
      <c r="I44" s="10"/>
      <c r="Q44" s="10"/>
    </row>
    <row r="45" spans="1:17">
      <c r="A45" s="5" t="s">
        <v>49</v>
      </c>
      <c r="G45" s="10">
        <f>G42</f>
        <v>14233875.939999999</v>
      </c>
      <c r="H45" s="10"/>
      <c r="I45" s="10">
        <v>1000</v>
      </c>
      <c r="Q45" s="10"/>
    </row>
    <row r="46" spans="1:17">
      <c r="A46" s="5" t="s">
        <v>50</v>
      </c>
      <c r="G46" s="10">
        <v>150000</v>
      </c>
      <c r="H46" s="10"/>
      <c r="I46" s="10"/>
      <c r="Q46" s="10"/>
    </row>
    <row r="47" spans="1:17">
      <c r="G47" s="10">
        <f>G45-G46</f>
        <v>14083875.939999999</v>
      </c>
      <c r="H47" s="10"/>
      <c r="I47" s="10"/>
      <c r="Q47" s="10"/>
    </row>
    <row r="48" spans="1:17">
      <c r="A48" s="5" t="s">
        <v>51</v>
      </c>
      <c r="G48" s="10">
        <f>G47/5000</f>
        <v>2816.7751880000001</v>
      </c>
      <c r="H48" s="10"/>
      <c r="I48" s="10"/>
    </row>
    <row r="49" spans="1:17">
      <c r="A49" s="5" t="s">
        <v>77</v>
      </c>
      <c r="G49" s="10"/>
      <c r="H49" s="10"/>
      <c r="I49" s="10">
        <f>MIN(275000, IF(G45&lt;=150000, 1000, 1000 + (ROUNDUP((G45-150000)/5000, 0) * 275)))-1000</f>
        <v>274000</v>
      </c>
      <c r="Q49" s="12"/>
    </row>
    <row r="50" spans="1:17">
      <c r="G50" s="10"/>
      <c r="H50" s="10"/>
      <c r="I50" s="10"/>
    </row>
    <row r="51" spans="1:17">
      <c r="E51" s="2" t="s">
        <v>52</v>
      </c>
      <c r="G51" s="10"/>
      <c r="H51" s="10"/>
      <c r="I51" s="11">
        <f>I45+I49</f>
        <v>275000</v>
      </c>
    </row>
    <row r="57" spans="1:17">
      <c r="C57" s="12"/>
    </row>
    <row r="65" spans="1:9">
      <c r="A65" s="2" t="s">
        <v>54</v>
      </c>
    </row>
    <row r="66" spans="1:9">
      <c r="A66" s="2" t="s">
        <v>53</v>
      </c>
    </row>
    <row r="68" spans="1:9" ht="34">
      <c r="A68" s="25" t="s">
        <v>17</v>
      </c>
      <c r="G68" s="21" t="s">
        <v>45</v>
      </c>
      <c r="H68" s="7"/>
      <c r="I68" s="7" t="s">
        <v>47</v>
      </c>
    </row>
    <row r="69" spans="1:9">
      <c r="A69" s="3" t="s">
        <v>55</v>
      </c>
    </row>
    <row r="70" spans="1:9">
      <c r="A70" s="5" t="s">
        <v>56</v>
      </c>
      <c r="G70" s="12">
        <f>G38</f>
        <v>9100000</v>
      </c>
      <c r="I70" s="12">
        <f>G70*0.03</f>
        <v>273000</v>
      </c>
    </row>
    <row r="71" spans="1:9">
      <c r="A71" s="5" t="s">
        <v>50</v>
      </c>
      <c r="G71" s="12">
        <f>(G70*0.15)/1.15</f>
        <v>1186956.5217391306</v>
      </c>
      <c r="H71" s="23" t="s">
        <v>86</v>
      </c>
      <c r="I71" s="12">
        <f>((G71*0.15)*0.3)/10</f>
        <v>5341.3043478260879</v>
      </c>
    </row>
    <row r="72" spans="1:9">
      <c r="A72" s="5" t="s">
        <v>57</v>
      </c>
      <c r="I72" s="24">
        <f>I70-I71</f>
        <v>267658.69565217389</v>
      </c>
    </row>
    <row r="74" spans="1:9">
      <c r="A74" s="5" t="s">
        <v>58</v>
      </c>
      <c r="I74" s="12">
        <f>I72*0.15</f>
        <v>40148.804347826081</v>
      </c>
    </row>
    <row r="75" spans="1:9">
      <c r="A75" s="2" t="s">
        <v>59</v>
      </c>
      <c r="I75" s="26">
        <f>I72+I74</f>
        <v>307807.5</v>
      </c>
    </row>
    <row r="78" spans="1:9">
      <c r="A78" s="4" t="s">
        <v>60</v>
      </c>
    </row>
    <row r="79" spans="1:9">
      <c r="A79" s="5" t="s">
        <v>61</v>
      </c>
      <c r="G79" s="12">
        <f>G39</f>
        <v>3500000</v>
      </c>
      <c r="I79" s="12">
        <f>G79*0.1</f>
        <v>350000</v>
      </c>
    </row>
    <row r="80" spans="1:9">
      <c r="A80" s="5" t="s">
        <v>50</v>
      </c>
      <c r="G80" s="12">
        <f>(G79*0.15)/1.15</f>
        <v>456521.73913043481</v>
      </c>
      <c r="H80" s="23" t="s">
        <v>87</v>
      </c>
      <c r="I80" s="24">
        <f>(G80*0.15)*0.1</f>
        <v>6847.826086956522</v>
      </c>
    </row>
    <row r="81" spans="1:11">
      <c r="I81" s="12">
        <f>I79-I80</f>
        <v>343152.17391304346</v>
      </c>
    </row>
    <row r="83" spans="1:11">
      <c r="A83" s="1" t="s">
        <v>62</v>
      </c>
      <c r="I83" s="12">
        <f>I81*0.15</f>
        <v>51472.82608695652</v>
      </c>
    </row>
    <row r="84" spans="1:11">
      <c r="A84" s="2" t="s">
        <v>59</v>
      </c>
      <c r="I84" s="26">
        <f>I81+I83</f>
        <v>394625</v>
      </c>
    </row>
    <row r="87" spans="1:11">
      <c r="A87" s="4" t="s">
        <v>63</v>
      </c>
    </row>
    <row r="88" spans="1:11">
      <c r="A88" s="5" t="s">
        <v>61</v>
      </c>
      <c r="G88" s="12">
        <v>1150000</v>
      </c>
      <c r="I88" s="12">
        <f>G88*0.1</f>
        <v>115000</v>
      </c>
    </row>
    <row r="89" spans="1:11">
      <c r="A89" s="5" t="s">
        <v>50</v>
      </c>
      <c r="G89" s="12">
        <f>(G88*0.15)/1.15</f>
        <v>150000</v>
      </c>
      <c r="H89" s="23" t="s">
        <v>87</v>
      </c>
      <c r="I89" s="24">
        <f>(G89*0.15)*0.1</f>
        <v>2250</v>
      </c>
    </row>
    <row r="90" spans="1:11">
      <c r="I90" s="12">
        <f>I88-I89</f>
        <v>112750</v>
      </c>
    </row>
    <row r="92" spans="1:11">
      <c r="A92" s="1" t="s">
        <v>62</v>
      </c>
      <c r="I92" s="12">
        <f>I90*0.15</f>
        <v>16912.5</v>
      </c>
    </row>
    <row r="93" spans="1:11">
      <c r="A93" s="2" t="s">
        <v>59</v>
      </c>
      <c r="I93" s="26">
        <f>I90+I92</f>
        <v>129662.5</v>
      </c>
    </row>
    <row r="95" spans="1:11">
      <c r="K95" s="34"/>
    </row>
    <row r="96" spans="1:11">
      <c r="A96" s="4" t="s">
        <v>30</v>
      </c>
    </row>
    <row r="97" spans="1:11">
      <c r="A97" s="5" t="s">
        <v>61</v>
      </c>
      <c r="G97" s="12">
        <f>G41</f>
        <v>483875.94</v>
      </c>
      <c r="I97" s="12">
        <f>G97*0.1</f>
        <v>48387.594000000005</v>
      </c>
    </row>
    <row r="98" spans="1:11">
      <c r="A98" s="5" t="s">
        <v>50</v>
      </c>
      <c r="G98" s="12">
        <f>(G97*0.15)/1.15</f>
        <v>63114.253043478268</v>
      </c>
      <c r="H98" s="23" t="s">
        <v>87</v>
      </c>
      <c r="I98" s="12">
        <f>(G97*0.15)*0.1</f>
        <v>7258.1391000000003</v>
      </c>
    </row>
    <row r="99" spans="1:11">
      <c r="I99" s="12">
        <f>I97-I98</f>
        <v>41129.454900000004</v>
      </c>
      <c r="K99" s="12">
        <f>((1150000/H114)*K95)</f>
        <v>0</v>
      </c>
    </row>
    <row r="101" spans="1:11">
      <c r="A101" s="1" t="s">
        <v>62</v>
      </c>
      <c r="I101" s="12">
        <f>I99*0.15</f>
        <v>6169.4182350000001</v>
      </c>
    </row>
    <row r="102" spans="1:11">
      <c r="A102" s="2" t="s">
        <v>59</v>
      </c>
      <c r="I102" s="26">
        <f>I99+I101</f>
        <v>47298.873135000002</v>
      </c>
    </row>
    <row r="104" spans="1:11">
      <c r="J104" s="12"/>
    </row>
    <row r="105" spans="1:11">
      <c r="A105" s="2" t="s">
        <v>64</v>
      </c>
    </row>
    <row r="106" spans="1:11">
      <c r="A106" s="2" t="s">
        <v>65</v>
      </c>
    </row>
    <row r="108" spans="1:11" ht="36" customHeight="1">
      <c r="A108" s="7" t="s">
        <v>40</v>
      </c>
      <c r="H108" s="19" t="s">
        <v>45</v>
      </c>
      <c r="I108" s="19" t="s">
        <v>67</v>
      </c>
    </row>
    <row r="109" spans="1:11" ht="19" customHeight="1"/>
    <row r="110" spans="1:11">
      <c r="A110" s="37" t="s">
        <v>66</v>
      </c>
      <c r="B110" s="32"/>
      <c r="C110" s="32"/>
      <c r="D110" s="32"/>
      <c r="E110" s="32"/>
      <c r="F110" s="32"/>
      <c r="G110" s="32"/>
      <c r="H110" s="33">
        <f>G38</f>
        <v>9100000</v>
      </c>
      <c r="I110" s="33">
        <f>((H110/H114)*460118.19)</f>
        <v>314414.48646131542</v>
      </c>
    </row>
    <row r="111" spans="1:11">
      <c r="A111" s="37" t="s">
        <v>85</v>
      </c>
      <c r="B111" s="32"/>
      <c r="C111" s="32"/>
      <c r="D111" s="32"/>
      <c r="E111" s="32"/>
      <c r="F111" s="32"/>
      <c r="G111" s="32"/>
      <c r="H111" s="33">
        <f>G39</f>
        <v>3500000</v>
      </c>
      <c r="I111" s="34">
        <f>((H111/H114)*460118.19)</f>
        <v>120928.64863896747</v>
      </c>
    </row>
    <row r="112" spans="1:11">
      <c r="A112" s="32" t="s">
        <v>44</v>
      </c>
      <c r="B112" s="32"/>
      <c r="C112" s="32"/>
      <c r="D112" s="32"/>
      <c r="E112" s="32"/>
      <c r="F112" s="32"/>
      <c r="G112" s="32"/>
      <c r="H112" s="33">
        <f>AU31</f>
        <v>717056.65386115969</v>
      </c>
      <c r="I112" s="33">
        <f>((H112/H114)*460118.19)</f>
        <v>24775.054899717114</v>
      </c>
    </row>
    <row r="113" spans="1:9">
      <c r="A113" s="32"/>
      <c r="B113" s="32"/>
      <c r="C113" s="32"/>
      <c r="D113" s="32"/>
      <c r="E113" s="32"/>
      <c r="F113" s="32"/>
      <c r="G113" s="32"/>
      <c r="H113" s="32"/>
      <c r="I113" s="32"/>
    </row>
    <row r="114" spans="1:9">
      <c r="A114" s="32"/>
      <c r="B114" s="32"/>
      <c r="C114" s="32"/>
      <c r="D114" s="32"/>
      <c r="E114" s="32"/>
      <c r="F114" s="32"/>
      <c r="G114" s="38" t="s">
        <v>68</v>
      </c>
      <c r="H114" s="33">
        <f>H110+H111+H112</f>
        <v>13317056.653861159</v>
      </c>
      <c r="I114" s="33">
        <f>I110+I111+I112</f>
        <v>460118.19</v>
      </c>
    </row>
    <row r="121" spans="1:9" ht="24" customHeight="1"/>
    <row r="126" spans="1:9">
      <c r="A126" s="4" t="s">
        <v>69</v>
      </c>
    </row>
    <row r="128" spans="1:9">
      <c r="A128" s="5" t="s">
        <v>70</v>
      </c>
    </row>
    <row r="130" spans="1:9" ht="34">
      <c r="G130" s="20" t="s">
        <v>71</v>
      </c>
      <c r="H130" s="20" t="s">
        <v>72</v>
      </c>
      <c r="I130" s="19" t="s">
        <v>73</v>
      </c>
    </row>
    <row r="131" spans="1:9">
      <c r="A131" s="1" t="s">
        <v>66</v>
      </c>
      <c r="G131" s="12">
        <f>(G38*0.15)/1.15</f>
        <v>1186956.5217391306</v>
      </c>
      <c r="H131" s="12">
        <f>Q8-R20</f>
        <v>55744.18221221352</v>
      </c>
      <c r="I131" s="12">
        <f>G131-H131</f>
        <v>1131212.3395269171</v>
      </c>
    </row>
    <row r="132" spans="1:9">
      <c r="A132" s="1" t="s">
        <v>85</v>
      </c>
      <c r="G132" s="12">
        <f>(G39*0.15)/1.15</f>
        <v>456521.73913043481</v>
      </c>
      <c r="H132" s="12">
        <f>Z7-AA19</f>
        <v>72646.019535474537</v>
      </c>
      <c r="I132" s="12">
        <f t="shared" ref="I132:I133" si="0">G132-H132</f>
        <v>383875.71959496028</v>
      </c>
    </row>
    <row r="133" spans="1:9">
      <c r="A133" s="1" t="s">
        <v>88</v>
      </c>
      <c r="G133" s="12">
        <f>(G40*0.15)/1.15</f>
        <v>150000</v>
      </c>
      <c r="H133" s="12">
        <f>AI8-AJ16</f>
        <v>17460.488477128732</v>
      </c>
      <c r="I133" s="12">
        <f t="shared" si="0"/>
        <v>132539.51152287127</v>
      </c>
    </row>
    <row r="134" spans="1:9">
      <c r="A134" s="5" t="s">
        <v>44</v>
      </c>
      <c r="G134" s="12">
        <f>(G41*0.15)/1.15</f>
        <v>63114.253043478268</v>
      </c>
    </row>
  </sheetData>
  <phoneticPr fontId="8" type="noConversion"/>
  <pageMargins left="0.25" right="0.25" top="0.75" bottom="0.75" header="0.3" footer="0.3"/>
  <pageSetup paperSize="9" orientation="landscape" horizontalDpi="0" verticalDpi="0"/>
  <headerFooter>
    <oddFooter>&amp;L202324-1187.Paper2Summative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Wesele Chikwililwa</dc:creator>
  <cp:lastModifiedBy>Wesele Chikwililwa</cp:lastModifiedBy>
  <cp:lastPrinted>2023-11-29T09:37:57Z</cp:lastPrinted>
  <dcterms:created xsi:type="dcterms:W3CDTF">2023-11-28T13:06:31Z</dcterms:created>
  <dcterms:modified xsi:type="dcterms:W3CDTF">2023-11-29T11:00:35Z</dcterms:modified>
</cp:coreProperties>
</file>