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rivombo\Desktop\"/>
    </mc:Choice>
  </mc:AlternateContent>
  <xr:revisionPtr revIDLastSave="0" documentId="13_ncr:1_{E9266787-2043-4776-A7E0-D620B4421268}" xr6:coauthVersionLast="47" xr6:coauthVersionMax="47" xr10:uidLastSave="{00000000-0000-0000-0000-000000000000}"/>
  <bookViews>
    <workbookView xWindow="-110" yWindow="-110" windowWidth="19420" windowHeight="11620" xr2:uid="{00000000-000D-0000-FFFF-FFFF00000000}"/>
  </bookViews>
  <sheets>
    <sheet name="Bank reconciliation" sheetId="1" r:id="rId1"/>
    <sheet name="Schedules" sheetId="2" r:id="rId2"/>
    <sheet name="Accounts" sheetId="4" r:id="rId3"/>
    <sheet name="Distribution account" sheetId="3" r:id="rId4"/>
  </sheets>
  <definedNames>
    <definedName name="CIQWBGuid" hidden="1">"ccbfa3dd-7393-4b5d-b135-315c392df3a9"</definedName>
    <definedName name="CIQWBInfo" hidden="1">"{ ""CIQVersion"":""9.51.3510.3078""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"10/31/2023 13:29:13"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D8" i="1"/>
  <c r="D33" i="1" s="1"/>
  <c r="C12" i="1"/>
  <c r="C29" i="1"/>
  <c r="C27" i="1"/>
  <c r="C26" i="1"/>
  <c r="C25" i="1"/>
  <c r="C22" i="1"/>
  <c r="C21" i="1"/>
  <c r="C20" i="1"/>
  <c r="C17" i="1"/>
  <c r="C16" i="1"/>
  <c r="C15" i="1"/>
  <c r="C14" i="1"/>
  <c r="C13" i="1"/>
  <c r="C11" i="1"/>
  <c r="I18" i="3"/>
  <c r="I8" i="3"/>
  <c r="I9" i="3"/>
  <c r="I10" i="3"/>
  <c r="I11" i="3"/>
  <c r="I12" i="3"/>
  <c r="I13" i="3"/>
  <c r="I14" i="3"/>
  <c r="I15" i="3"/>
  <c r="I16" i="3"/>
  <c r="I7" i="3"/>
  <c r="H16" i="3"/>
  <c r="H13" i="3"/>
  <c r="G13" i="3"/>
  <c r="G8" i="3"/>
  <c r="G10" i="3"/>
  <c r="G12" i="3"/>
  <c r="G9" i="3"/>
  <c r="F11" i="3"/>
  <c r="G15" i="3"/>
  <c r="G14" i="3"/>
  <c r="G18" i="3" s="1"/>
  <c r="C78" i="2"/>
  <c r="C77" i="2"/>
  <c r="C76" i="2"/>
  <c r="C75" i="2"/>
  <c r="C74" i="2"/>
  <c r="E122" i="4"/>
  <c r="D115" i="4"/>
  <c r="D108" i="4"/>
  <c r="C102" i="4"/>
  <c r="C101" i="4"/>
  <c r="C100" i="4"/>
  <c r="C99" i="4"/>
  <c r="C98" i="4"/>
  <c r="C97" i="4"/>
  <c r="C96" i="4"/>
  <c r="C95" i="4"/>
  <c r="D93" i="4"/>
  <c r="C93" i="4" s="1"/>
  <c r="C58" i="2"/>
  <c r="C85" i="4"/>
  <c r="C59" i="2" s="1"/>
  <c r="C86" i="4"/>
  <c r="E79" i="4"/>
  <c r="C48" i="2"/>
  <c r="C43" i="2"/>
  <c r="C11" i="2"/>
  <c r="C10" i="2"/>
  <c r="C61" i="4"/>
  <c r="C49" i="2" s="1"/>
  <c r="C60" i="4"/>
  <c r="E53" i="4"/>
  <c r="C68" i="2"/>
  <c r="C69" i="2" s="1"/>
  <c r="D68" i="2" s="1"/>
  <c r="C40" i="4"/>
  <c r="C28" i="2"/>
  <c r="C35" i="2"/>
  <c r="C33" i="4"/>
  <c r="C36" i="2" s="1"/>
  <c r="E26" i="4"/>
  <c r="C16" i="4"/>
  <c r="C15" i="4"/>
  <c r="C9" i="4"/>
  <c r="C29" i="2" s="1"/>
  <c r="D12" i="2"/>
  <c r="D20" i="2"/>
  <c r="D21" i="2" s="1"/>
  <c r="C60" i="2" l="1"/>
  <c r="C44" i="2"/>
  <c r="C45" i="2" s="1"/>
  <c r="C52" i="2" s="1"/>
  <c r="C50" i="2"/>
  <c r="C53" i="2" s="1"/>
  <c r="C12" i="2"/>
  <c r="D11" i="2" s="1"/>
  <c r="D90" i="4" s="1"/>
  <c r="C37" i="2"/>
  <c r="C38" i="2" s="1"/>
  <c r="C39" i="4" s="1"/>
  <c r="D75" i="2" s="1"/>
  <c r="E75" i="2" s="1"/>
  <c r="D67" i="2"/>
  <c r="D41" i="4" s="1"/>
  <c r="C41" i="4" s="1"/>
  <c r="C30" i="2"/>
  <c r="C31" i="2" s="1"/>
  <c r="C14" i="4" s="1"/>
  <c r="D74" i="2" s="1"/>
  <c r="E74" i="2" l="1"/>
  <c r="C61" i="2"/>
  <c r="C54" i="2"/>
  <c r="C66" i="4" s="1"/>
  <c r="E9" i="2"/>
  <c r="D38" i="4" s="1"/>
  <c r="C38" i="4" s="1"/>
  <c r="D42" i="4" s="1"/>
  <c r="E8" i="2"/>
  <c r="D13" i="4" s="1"/>
  <c r="C13" i="4" s="1"/>
  <c r="D17" i="4" s="1"/>
  <c r="D9" i="2"/>
  <c r="D37" i="4" s="1"/>
  <c r="C16" i="2"/>
  <c r="C18" i="2" s="1"/>
  <c r="C19" i="2" s="1"/>
  <c r="E10" i="2"/>
  <c r="D65" i="4" s="1"/>
  <c r="C65" i="4" s="1"/>
  <c r="D10" i="2"/>
  <c r="D64" i="4" s="1"/>
  <c r="E11" i="2"/>
  <c r="D91" i="4" s="1"/>
  <c r="C91" i="4" s="1"/>
  <c r="D8" i="2"/>
  <c r="D12" i="4" s="1"/>
  <c r="C39" i="2"/>
  <c r="D39" i="4" s="1"/>
  <c r="C32" i="2"/>
  <c r="D14" i="4" s="1"/>
  <c r="D68" i="4" l="1"/>
  <c r="D76" i="2"/>
  <c r="C62" i="2"/>
  <c r="D92" i="4" s="1"/>
  <c r="C92" i="4"/>
  <c r="C55" i="2"/>
  <c r="D66" i="4" s="1"/>
  <c r="D69" i="4" s="1"/>
  <c r="D43" i="4"/>
  <c r="D46" i="4" s="1"/>
  <c r="D18" i="4"/>
  <c r="D21" i="4" s="1"/>
  <c r="D26" i="4" l="1"/>
  <c r="E7" i="3"/>
  <c r="D72" i="4"/>
  <c r="E10" i="3" s="1"/>
  <c r="D79" i="4"/>
  <c r="D103" i="4"/>
  <c r="D77" i="2"/>
  <c r="E77" i="2" s="1"/>
  <c r="E76" i="2"/>
  <c r="D53" i="4"/>
  <c r="E8" i="3"/>
  <c r="D104" i="4"/>
  <c r="E78" i="2" l="1"/>
  <c r="D78" i="2"/>
  <c r="D120" i="4"/>
  <c r="D122" i="4" s="1"/>
</calcChain>
</file>

<file path=xl/sharedStrings.xml><?xml version="1.0" encoding="utf-8"?>
<sst xmlns="http://schemas.openxmlformats.org/spreadsheetml/2006/main" count="251" uniqueCount="163">
  <si>
    <t>202324-1135.Paper2Summative</t>
  </si>
  <si>
    <t>SCHEDULE A</t>
  </si>
  <si>
    <t>PRO RATA APPORTIONMENT OF MASTER'S FEES AND BOND OF SECURITY PREMIUM</t>
  </si>
  <si>
    <t>Account</t>
  </si>
  <si>
    <t>Gross proceeds</t>
  </si>
  <si>
    <t>Master's fee</t>
  </si>
  <si>
    <t>Bond premium</t>
  </si>
  <si>
    <t>(All amounts in ZAR)</t>
  </si>
  <si>
    <t>Free residue</t>
  </si>
  <si>
    <t>Encumbered asset account 1</t>
  </si>
  <si>
    <t>Therefore, 2816 x R275</t>
  </si>
  <si>
    <t>Master's fee therefore subject to maximum fee</t>
  </si>
  <si>
    <t>Master's fee calculation</t>
  </si>
  <si>
    <t>Narrative</t>
  </si>
  <si>
    <t>Associated calculation / amount(s)</t>
  </si>
  <si>
    <t>Gross value of estate</t>
  </si>
  <si>
    <t>R1,000 Master’s Fee on first R150,000.00</t>
  </si>
  <si>
    <t>Total</t>
  </si>
  <si>
    <t>14,233,875.94 - 150,000.00</t>
  </si>
  <si>
    <t>R275 for each completed R5,000 thereafter (14,083,875.94/5,000.00)</t>
  </si>
  <si>
    <t>ENCUMBERED ASSET ACCOUNT 1</t>
  </si>
  <si>
    <t>Narration</t>
  </si>
  <si>
    <t>VAT</t>
  </si>
  <si>
    <t>Payments</t>
  </si>
  <si>
    <t>Receipts</t>
  </si>
  <si>
    <t xml:space="preserve">Proceeds of Portion 8 of the farm “ValleyGrove”, Stellenbosch, Western Cape, sold by public auction by Hastings Auctions </t>
  </si>
  <si>
    <t>Master's fee, pro rata portion as per Schedule A</t>
  </si>
  <si>
    <t>(0.00)</t>
  </si>
  <si>
    <t>GuardianSure Bonds Ltd pro rata bond of security premium as per Schedule A</t>
  </si>
  <si>
    <t>Liquidator's fee as per Schedule B</t>
  </si>
  <si>
    <t>SCHEDULE B</t>
  </si>
  <si>
    <t>CALCULATION OF LIQUIDATOR'S REMUNERATION IN ACCORDANCE WITH SPENDIFF DECISION</t>
  </si>
  <si>
    <t>Fee @ 3% on gross proceeds of R9,100,000.00</t>
  </si>
  <si>
    <t>Less: R1,186,956.52 x 3% x 15%</t>
  </si>
  <si>
    <t>Plus VAT @ 15% on R267,658.70</t>
  </si>
  <si>
    <t>Total fee (VAT inclusive)</t>
  </si>
  <si>
    <t>Subtotal fee (VAT exclusive)</t>
  </si>
  <si>
    <t xml:space="preserve">Western Province Municipality, for rates and taxes payable on Portion 8 of the Farm ValleyGrove, for approximately four (4) months arrear taxes as well as the amount owing from date of liquidation to date of transfer of the property </t>
  </si>
  <si>
    <t>Hastings Auctions, for expenses incurred in respect of the auction of Portion 8 of the farm “ValleyGrove”, Stellenbosch, Western Cape</t>
  </si>
  <si>
    <t>PROCEEDS OF PORTION 8 OF THE FARM “VALLEYGROVE”, STELLENBOSCH, WESTERN CAPE SUBJECT TO A FIRST MORTGAGE BOND IN FAVOUR OF CREDITOR NO 1, CAPITAL BANK LTD</t>
  </si>
  <si>
    <t>SARS, VAT payable as per this account</t>
  </si>
  <si>
    <t>Total payments</t>
  </si>
  <si>
    <t>Balance awarded as follows:</t>
  </si>
  <si>
    <t>Capital Bank Ltd, for 1st mortgage bond over the property:</t>
  </si>
  <si>
    <t>Capital = R8,946,765.32</t>
  </si>
  <si>
    <t>Interest (@ 14% from 04/09/2022 to 17/03/2023 (194 days) = R663,918.43</t>
  </si>
  <si>
    <t>No balance carried over to the Free Residue Account as the Creditor has relied on its security and the balance is insufficient.</t>
  </si>
  <si>
    <t>Totals</t>
  </si>
  <si>
    <t>ENCUMBERED ASSET ACCOUNT 2</t>
  </si>
  <si>
    <t xml:space="preserve">Proceeds of bottling plant and equipment sold ex situ by public auction by Hastings Auctions </t>
  </si>
  <si>
    <t>Fee @ 10% on gross proceeds of R3,500,000.00</t>
  </si>
  <si>
    <t>Less: R456,521.74 x 10% x 15%</t>
  </si>
  <si>
    <t>Plus VAT @ 15% on R343,152.17</t>
  </si>
  <si>
    <t>GrapeFlow Bottling Solutions, for repairs made to the bottling plant prior to it being sold by public auction</t>
  </si>
  <si>
    <t>SCHEDULE C</t>
  </si>
  <si>
    <t>PRO RATA APPORTIONMENT OF AUCTIONEER'S COMMISSION</t>
  </si>
  <si>
    <t>Auctioneer's commission</t>
  </si>
  <si>
    <t>Encumbered asset account 2</t>
  </si>
  <si>
    <t>Encumbered asset account 3</t>
  </si>
  <si>
    <t>Hastings Auctions, pro rata portion of auctioneer's fees as per Schedule C</t>
  </si>
  <si>
    <t>BOTTLING PLANT AND EQUIPMENT SOLD EX SITU SUBJECT TO A SPECIAL NOTARIAL BOND REGISTERED OVER SPECIFIED ASSETS IN FAVOUR OF CREDITOR NO 2, HARVEST FINANCE LTD</t>
  </si>
  <si>
    <t>Harvest Finance Ltd, for a working capital loan secured by a special notarial bond registered over specified assets:</t>
  </si>
  <si>
    <t>Capital = R3,203,046.89</t>
  </si>
  <si>
    <t>Interest (@ 16.5% from 04/09/2022 to 17/03/2023 (194 days) = R280,135.33</t>
  </si>
  <si>
    <t>Balance of claim which is concurrent in terms of Singer v The Master:</t>
  </si>
  <si>
    <t>(R3,203,046.89 + R280,135.33) - R2,568,390.43
= R914,791.79</t>
  </si>
  <si>
    <t>PROCEEDS OF THE 2019 SELF-PROPELLED GRAPE HARVESTER SUBJECT TO AN INSTALMENT SALE TRANSACTION IN FAVOUR OF CREDITOR NO 4, AGRITECH FINANCE</t>
  </si>
  <si>
    <t>2019 self-propelled Grape Harvester, registration number CA9090 used on the farm for farming operations and sold by private treaty</t>
  </si>
  <si>
    <t>Proceeds of a quantity of Stella Valley Cabernet grapes harvested shortly after liquidation and sold privately to the local Co-op market
(Singer v The Master provides that a secured creditor is entitled to benefits arising from the property)</t>
  </si>
  <si>
    <t>Fee @ 10% on gross proceeds of R1,150,000.00</t>
  </si>
  <si>
    <t>Less: R150,000.00 x 10% x 15%</t>
  </si>
  <si>
    <t>Fee @ 10% on gross proceeds of R120,876.76</t>
  </si>
  <si>
    <t>Less: R15,766.53 x 10% x 15%</t>
  </si>
  <si>
    <t>Fee on benefits arising from movable property</t>
  </si>
  <si>
    <t>Fee on movable property</t>
  </si>
  <si>
    <t>Movable property (2019 self-propelled Grape Harvester)</t>
  </si>
  <si>
    <t>Benefits arising from movable property (Stella Valley Cabernet grapes harvested shortly after liquidation)</t>
  </si>
  <si>
    <t>Plus VAT @ 15% thereon</t>
  </si>
  <si>
    <t xml:space="preserve">General labourers wages for assistance with harvesting the grapes sold after liquidation </t>
  </si>
  <si>
    <t>AgriTech Finance, for moneys lent and advanced secured by an instalment sale transaction over the 2019 Grape Harvester:</t>
  </si>
  <si>
    <t>Capital = R1,261,052.55</t>
  </si>
  <si>
    <t>Interest (@ 18.75% from 04/09/2022 to 17/03/2023 (194 days) = R125,330.02</t>
  </si>
  <si>
    <t>FREE RESIDUE ACCOUNT</t>
  </si>
  <si>
    <t>Proceeds of book debts collected by attorneys Sithole &amp; Partners</t>
  </si>
  <si>
    <t>Proceeds from miscellaneous movable assets and office equipment found at the farm “ValleyGrove”</t>
  </si>
  <si>
    <t>Proceeds from substantial inventory of bottled wines manufactured by the winery on the farm “ValleyGrove”
(Not included in encumbered asset account 2 as benefits arising from the property (Singer v The Master) as the entity would stop carrying on its business upon commencement of liquidation, and as it can be assumed that the substantial inventory of bottled wines were manufactured prior to the liquidation order as the working capital funding provided by HarvestFinance was soon depleted after provision, thus the entity would have not been able to continue manufacturing and it would not be beneficial for the liquidation process to do so)</t>
  </si>
  <si>
    <t>Fee @ 10% on gross proceeds of R274,594.10</t>
  </si>
  <si>
    <t>Less: R35,816.62 x 10% x 15%</t>
  </si>
  <si>
    <t>Plus VAT @ 15% on R26,922.16</t>
  </si>
  <si>
    <t>Advertisement expenses:</t>
  </si>
  <si>
    <t>Destruction of books and records</t>
  </si>
  <si>
    <t>General (second) meeting</t>
  </si>
  <si>
    <t>Inspection of account</t>
  </si>
  <si>
    <t>Confirmation of account</t>
  </si>
  <si>
    <t>Trust Bank Ltd, bank charges (including provision of R150.00</t>
  </si>
  <si>
    <t>Postage and petties</t>
  </si>
  <si>
    <t>Sithole &amp; Partners, professional fee for collecting the book debts</t>
  </si>
  <si>
    <t xml:space="preserve">Horizon Attorneys, taxed Bill of Costs regarding for the application for the winding-up of the company </t>
  </si>
  <si>
    <t>No.</t>
  </si>
  <si>
    <t>Creditor name</t>
  </si>
  <si>
    <t>Total claim</t>
  </si>
  <si>
    <t>Secured claim</t>
  </si>
  <si>
    <t>Preferent claim</t>
  </si>
  <si>
    <t>Concurrent claim</t>
  </si>
  <si>
    <t>Secured / preferent award</t>
  </si>
  <si>
    <t>Concurrent award</t>
  </si>
  <si>
    <t>Capital Bank Ltd</t>
  </si>
  <si>
    <t>Harvest Finance Ltd</t>
  </si>
  <si>
    <t>Vinetech Supplies Ltd</t>
  </si>
  <si>
    <t>AgriTech Finance</t>
  </si>
  <si>
    <t>South African Revenue Service</t>
  </si>
  <si>
    <t>Winecraft Essentials Ltd</t>
  </si>
  <si>
    <t>Thabo Moeng</t>
  </si>
  <si>
    <t>David Smith</t>
  </si>
  <si>
    <t>Maria Ndlovu</t>
  </si>
  <si>
    <t>Sindiwe Mthembu</t>
  </si>
  <si>
    <t>Capital = R1 261 052.55
Interest = R125 330.02</t>
  </si>
  <si>
    <t>Capital = R3 203 046.89
Interest = R280 135.33</t>
  </si>
  <si>
    <t>Capital = R8 946 765.32
Interest = R663 918.43
Creditor relied on security; funds available for distribution = R6,962,491.70</t>
  </si>
  <si>
    <t>Arrear salary R12,000.00</t>
  </si>
  <si>
    <t>Leave pay R4,000.00</t>
  </si>
  <si>
    <t>Sindiwe Mthembu, Creditor 10, s 98A</t>
  </si>
  <si>
    <t>PAYE = R119,345.02</t>
  </si>
  <si>
    <t>VAT = R17,841.62</t>
  </si>
  <si>
    <t>Preferent creditors:</t>
  </si>
  <si>
    <t>1. Thabo Moeng, Creditor 8, s 98A</t>
  </si>
  <si>
    <t>2. SARS, Creditor 5, s 99</t>
  </si>
  <si>
    <t>Concurrent creditors:</t>
  </si>
  <si>
    <t>SCHEDULE D</t>
  </si>
  <si>
    <t>VAT SCHEDULE</t>
  </si>
  <si>
    <t>Output VAT</t>
  </si>
  <si>
    <t>Input VAT</t>
  </si>
  <si>
    <t>VAT pay / refund</t>
  </si>
  <si>
    <t>ENCUMBERED ASSET ACCOUNT 3</t>
  </si>
  <si>
    <t>(R1,261,052.55 + R125,330.02) - R936,918.32
= R449,464.25</t>
  </si>
  <si>
    <t>DISTRIBUTION ACCOUNT - LIST A -</t>
  </si>
  <si>
    <t>137 186.64
(Free residue)</t>
  </si>
  <si>
    <t>936 918.32
(Encumbered asset account 3)</t>
  </si>
  <si>
    <t>2 568 390.43
(Encumbered asset account 2)</t>
  </si>
  <si>
    <t>12 000.00 (salary s 98A)
4 000.00 (leave pay s 98A)</t>
  </si>
  <si>
    <t>12 000.00 (salary s 98A)</t>
  </si>
  <si>
    <t>Dividend of 6.2889 cents in the Rand
(100,329.80/1,595,334.94 x 100)</t>
  </si>
  <si>
    <t>CONCURRENT DIVIDEND OF 6.2889 CENTS IN THE RAND</t>
  </si>
  <si>
    <t>LIST - B -</t>
  </si>
  <si>
    <t>VALLEYGROVE FARMS (PTY) LTD (IN LIQUIDATION)</t>
  </si>
  <si>
    <t>BANK RECONCILIATION STATEMENT</t>
  </si>
  <si>
    <t>Payments still to be made:</t>
  </si>
  <si>
    <t>Bond premium (provision for renewal)</t>
  </si>
  <si>
    <t xml:space="preserve">Provision for advertising destruction of books and records </t>
  </si>
  <si>
    <t>Trust Bank Ltd, bank charges (including a provision of R150.00)</t>
  </si>
  <si>
    <t xml:space="preserve">Postage and petties </t>
  </si>
  <si>
    <t>Liquidator's remuneration</t>
  </si>
  <si>
    <t>SARS, for VAT payable per this account</t>
  </si>
  <si>
    <t>Awards to creditors still to be made:</t>
  </si>
  <si>
    <t>Encumbered asset account 1 (creditor 1)</t>
  </si>
  <si>
    <t>Encumbered asset account 2 (creditor 2)</t>
  </si>
  <si>
    <t>Encumbered asset account 3 (creditor 3)</t>
  </si>
  <si>
    <t>Creditor 7 (preferent)</t>
  </si>
  <si>
    <t>Creditor 10 (preferent)</t>
  </si>
  <si>
    <t>Creditor 5 (preferent)</t>
  </si>
  <si>
    <t>Concurrent creditors</t>
  </si>
  <si>
    <t xml:space="preserve">Balance as per bank statement as at date of drafting the account </t>
  </si>
  <si>
    <t>NB - Kindly note that this line item is not part of the bank reconciliation (only for purposes of correcting the total) - Correction of payment item 2.10 which was incorrectly reflected at R250 under item 4 as per the email dated 28/11/2023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</si>
</sst>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
    <numFmt numFmtId="170" formatCode="#,##0.000000000"/>
    <numFmt numFmtId="172" formatCode="#,##0;\(#,##0\)"/>
    <numFmt numFmtId="175" formatCode="#,##0.0000;\(#,##0.0000\)"/>
  </numFmts>
  <fonts count="8">
    <font>
      <sz val="11"/>
      <color theme="1"/>
      <name val="Calibri"/>
      <family val="2"/>
      <scheme val="minor"/>
    </font>
    <font>
      <sz val="11"/>
      <color theme="1"/>
      <name val="Calibri"/>
      <family val="2"/>
      <scheme val="minor"/>
    </font>
    <font>
      <sz val="11"/>
      <color theme="1"/>
      <name val="Avenir Next"/>
    </font>
    <font>
      <sz val="8"/>
      <name val="Calibri"/>
      <family val="2"/>
      <scheme val="minor"/>
    </font>
    <font>
      <b/>
      <sz val="11"/>
      <color theme="1"/>
      <name val="Avenir Next"/>
    </font>
    <font>
      <u/>
      <sz val="11"/>
      <color theme="1"/>
      <name val="Avenir Next"/>
    </font>
    <font>
      <sz val="11"/>
      <name val="Avenir Next"/>
    </font>
    <font>
      <i/>
      <sz val="11"/>
      <color rgb="FFFF0000"/>
      <name val="Avenir Next"/>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0" xfId="0" applyFont="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vertical="center" wrapText="1"/>
    </xf>
    <xf numFmtId="164" fontId="2" fillId="0" borderId="2" xfId="0" applyNumberFormat="1" applyFont="1" applyBorder="1" applyAlignment="1">
      <alignment vertical="center" wrapText="1"/>
    </xf>
    <xf numFmtId="164" fontId="4" fillId="0" borderId="3" xfId="0" applyNumberFormat="1" applyFont="1" applyBorder="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vertical="center" wrapText="1"/>
    </xf>
    <xf numFmtId="164" fontId="2" fillId="0" borderId="4" xfId="0" applyNumberFormat="1"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2" fillId="2" borderId="4" xfId="0" applyFont="1" applyFill="1" applyBorder="1" applyAlignment="1">
      <alignment horizontal="right" vertical="center" wrapText="1"/>
    </xf>
    <xf numFmtId="0" fontId="2" fillId="0" borderId="8" xfId="0" applyFont="1" applyBorder="1" applyAlignment="1">
      <alignment vertical="center" wrapText="1"/>
    </xf>
    <xf numFmtId="164" fontId="2" fillId="0" borderId="8" xfId="0" applyNumberFormat="1" applyFont="1" applyBorder="1" applyAlignment="1">
      <alignment vertical="center" wrapText="1"/>
    </xf>
    <xf numFmtId="0" fontId="4" fillId="2" borderId="3" xfId="0" applyFont="1" applyFill="1" applyBorder="1" applyAlignment="1">
      <alignment vertical="center" wrapText="1"/>
    </xf>
    <xf numFmtId="164" fontId="4" fillId="2" borderId="3" xfId="0" applyNumberFormat="1" applyFont="1" applyFill="1" applyBorder="1" applyAlignment="1">
      <alignment vertical="center" wrapText="1"/>
    </xf>
    <xf numFmtId="0" fontId="2" fillId="0" borderId="0" xfId="0" applyFont="1" applyAlignment="1">
      <alignment vertical="center"/>
    </xf>
    <xf numFmtId="0" fontId="2" fillId="2" borderId="4" xfId="0" applyFont="1" applyFill="1" applyBorder="1" applyAlignment="1">
      <alignment horizontal="left" vertical="center" wrapText="1"/>
    </xf>
    <xf numFmtId="0" fontId="2" fillId="2" borderId="4" xfId="0" applyFont="1" applyFill="1" applyBorder="1" applyAlignment="1">
      <alignment vertical="center"/>
    </xf>
    <xf numFmtId="0" fontId="2" fillId="2" borderId="4" xfId="0" applyFont="1" applyFill="1" applyBorder="1" applyAlignment="1">
      <alignment horizontal="right" vertical="center"/>
    </xf>
    <xf numFmtId="164" fontId="2" fillId="0" borderId="0" xfId="0" applyNumberFormat="1" applyFont="1" applyAlignment="1">
      <alignment vertical="center"/>
    </xf>
    <xf numFmtId="0" fontId="2" fillId="0" borderId="4" xfId="0" applyFont="1" applyBorder="1" applyAlignment="1">
      <alignment vertical="center"/>
    </xf>
    <xf numFmtId="164" fontId="2" fillId="0" borderId="4" xfId="0" applyNumberFormat="1" applyFont="1" applyBorder="1" applyAlignment="1">
      <alignment vertical="center"/>
    </xf>
    <xf numFmtId="164" fontId="2" fillId="0" borderId="4" xfId="0" applyNumberFormat="1" applyFont="1" applyBorder="1" applyAlignment="1">
      <alignment horizontal="right" vertical="center"/>
    </xf>
    <xf numFmtId="0" fontId="5" fillId="0" borderId="4" xfId="0" applyFont="1" applyBorder="1" applyAlignment="1">
      <alignment vertical="center" wrapText="1"/>
    </xf>
    <xf numFmtId="164" fontId="4" fillId="0" borderId="4" xfId="0" applyNumberFormat="1" applyFont="1" applyBorder="1" applyAlignment="1">
      <alignment vertical="center"/>
    </xf>
    <xf numFmtId="0" fontId="2" fillId="0" borderId="10" xfId="0" applyFont="1" applyBorder="1" applyAlignment="1">
      <alignment vertical="center" wrapText="1"/>
    </xf>
    <xf numFmtId="164" fontId="2" fillId="0" borderId="10" xfId="0" applyNumberFormat="1" applyFont="1" applyBorder="1" applyAlignment="1">
      <alignment vertical="center"/>
    </xf>
    <xf numFmtId="164" fontId="4" fillId="0" borderId="9" xfId="0" applyNumberFormat="1" applyFont="1" applyBorder="1" applyAlignment="1">
      <alignment vertical="center"/>
    </xf>
    <xf numFmtId="43" fontId="2" fillId="0" borderId="0" xfId="1" applyFont="1" applyAlignment="1">
      <alignment vertical="center"/>
    </xf>
    <xf numFmtId="0" fontId="4" fillId="0" borderId="11" xfId="0" applyFont="1" applyBorder="1" applyAlignment="1">
      <alignment vertical="center" wrapText="1"/>
    </xf>
    <xf numFmtId="164" fontId="4" fillId="0" borderId="11" xfId="0" applyNumberFormat="1" applyFont="1" applyBorder="1" applyAlignment="1">
      <alignment vertical="center"/>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4" fillId="0" borderId="12" xfId="0" applyFont="1" applyBorder="1" applyAlignment="1">
      <alignment vertical="center" wrapText="1"/>
    </xf>
    <xf numFmtId="164" fontId="4" fillId="0" borderId="12" xfId="0" applyNumberFormat="1" applyFont="1" applyBorder="1" applyAlignment="1">
      <alignment vertical="center" wrapText="1"/>
    </xf>
    <xf numFmtId="164" fontId="4" fillId="0" borderId="4" xfId="0" applyNumberFormat="1" applyFont="1" applyBorder="1" applyAlignment="1">
      <alignment vertical="center" wrapText="1"/>
    </xf>
    <xf numFmtId="4" fontId="2" fillId="0" borderId="0" xfId="0" applyNumberFormat="1" applyFont="1" applyAlignment="1">
      <alignment vertical="center"/>
    </xf>
    <xf numFmtId="170" fontId="2" fillId="0" borderId="0" xfId="0" applyNumberFormat="1" applyFont="1" applyAlignment="1">
      <alignment vertical="center"/>
    </xf>
    <xf numFmtId="0" fontId="2" fillId="0" borderId="4" xfId="0" applyFont="1" applyBorder="1" applyAlignment="1">
      <alignment horizontal="left" vertical="center" wrapText="1" indent="2"/>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75" fontId="2"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6" fillId="0" borderId="4" xfId="0" applyFont="1" applyBorder="1" applyAlignment="1">
      <alignment horizontal="left" vertical="center" wrapText="1" indent="2"/>
    </xf>
    <xf numFmtId="0" fontId="2" fillId="0" borderId="4" xfId="0" applyFont="1" applyFill="1" applyBorder="1" applyAlignment="1">
      <alignment vertical="center"/>
    </xf>
    <xf numFmtId="164" fontId="2" fillId="0" borderId="4" xfId="0" applyNumberFormat="1" applyFont="1" applyFill="1" applyBorder="1" applyAlignment="1">
      <alignment horizontal="right" vertical="center" wrapText="1"/>
    </xf>
    <xf numFmtId="164" fontId="2" fillId="0" borderId="4" xfId="0" applyNumberFormat="1" applyFont="1" applyFill="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164" fontId="2" fillId="0" borderId="13" xfId="0" applyNumberFormat="1" applyFont="1" applyBorder="1" applyAlignment="1">
      <alignment vertical="center"/>
    </xf>
    <xf numFmtId="172" fontId="2" fillId="0" borderId="0" xfId="0" applyNumberFormat="1" applyFont="1" applyAlignment="1">
      <alignment vertical="center" wrapText="1"/>
    </xf>
    <xf numFmtId="164" fontId="2" fillId="0" borderId="0" xfId="0" applyNumberFormat="1" applyFont="1" applyAlignment="1">
      <alignment vertical="center" wrapText="1"/>
    </xf>
    <xf numFmtId="0" fontId="7" fillId="0" borderId="4" xfId="0" applyFont="1" applyBorder="1" applyAlignment="1">
      <alignment vertical="center" wrapText="1"/>
    </xf>
    <xf numFmtId="164" fontId="7" fillId="0" borderId="4" xfId="0" applyNumberFormat="1"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66"/>
  <sheetViews>
    <sheetView showGridLines="0" tabSelected="1" workbookViewId="0">
      <selection activeCell="G33" sqref="G33"/>
    </sheetView>
  </sheetViews>
  <sheetFormatPr defaultRowHeight="14"/>
  <cols>
    <col min="1" max="1" width="2.6328125" style="1" customWidth="1"/>
    <col min="2" max="2" width="50.6328125" style="1" customWidth="1"/>
    <col min="3" max="4" width="20.6328125" style="1" customWidth="1"/>
    <col min="5" max="16384" width="8.7265625" style="1"/>
  </cols>
  <sheetData>
    <row r="2" spans="2:4">
      <c r="B2" s="1" t="s">
        <v>0</v>
      </c>
    </row>
    <row r="4" spans="2:4">
      <c r="B4" s="35" t="s">
        <v>144</v>
      </c>
      <c r="C4" s="35"/>
      <c r="D4" s="35"/>
    </row>
    <row r="5" spans="2:4">
      <c r="B5" s="35" t="s">
        <v>145</v>
      </c>
      <c r="C5" s="35"/>
      <c r="D5" s="35"/>
    </row>
    <row r="6" spans="2:4">
      <c r="B6" s="35" t="s">
        <v>7</v>
      </c>
      <c r="C6" s="35"/>
      <c r="D6" s="35"/>
    </row>
    <row r="7" spans="2:4">
      <c r="B7" s="9" t="s">
        <v>21</v>
      </c>
      <c r="C7" s="14" t="s">
        <v>23</v>
      </c>
      <c r="D7" s="14" t="s">
        <v>24</v>
      </c>
    </row>
    <row r="8" spans="2:4" ht="28">
      <c r="B8" s="10" t="s">
        <v>161</v>
      </c>
      <c r="C8" s="11"/>
      <c r="D8" s="11">
        <f>13552455.81</f>
        <v>13552455.810000001</v>
      </c>
    </row>
    <row r="9" spans="2:4">
      <c r="B9" s="10"/>
      <c r="C9" s="11"/>
      <c r="D9" s="11"/>
    </row>
    <row r="10" spans="2:4">
      <c r="B10" s="27" t="s">
        <v>146</v>
      </c>
      <c r="C10" s="11"/>
      <c r="D10" s="11"/>
    </row>
    <row r="11" spans="2:4">
      <c r="B11" s="10" t="s">
        <v>147</v>
      </c>
      <c r="C11" s="11">
        <f>52000-26000</f>
        <v>26000</v>
      </c>
      <c r="D11" s="11"/>
    </row>
    <row r="12" spans="2:4" ht="28">
      <c r="B12" s="10" t="s">
        <v>148</v>
      </c>
      <c r="C12" s="11">
        <f>Accounts!D98</f>
        <v>37.82</v>
      </c>
      <c r="D12" s="11"/>
    </row>
    <row r="13" spans="2:4" ht="28">
      <c r="B13" s="10" t="s">
        <v>149</v>
      </c>
      <c r="C13" s="11">
        <f>Accounts!D99</f>
        <v>400</v>
      </c>
      <c r="D13" s="11"/>
    </row>
    <row r="14" spans="2:4">
      <c r="B14" s="10" t="s">
        <v>150</v>
      </c>
      <c r="C14" s="11">
        <f>Accounts!D100</f>
        <v>1030</v>
      </c>
      <c r="D14" s="11"/>
    </row>
    <row r="15" spans="2:4">
      <c r="B15" s="10" t="s">
        <v>5</v>
      </c>
      <c r="C15" s="11">
        <f>Schedules!D12</f>
        <v>275000</v>
      </c>
      <c r="D15" s="11"/>
    </row>
    <row r="16" spans="2:4">
      <c r="B16" s="10" t="s">
        <v>151</v>
      </c>
      <c r="C16" s="11">
        <f>SUM(Schedules!C32,Schedules!C39,Schedules!C55,Schedules!C62)</f>
        <v>876684.33946499997</v>
      </c>
      <c r="D16" s="11"/>
    </row>
    <row r="17" spans="2:4">
      <c r="B17" s="10" t="s">
        <v>152</v>
      </c>
      <c r="C17" s="11">
        <f>Schedules!E78</f>
        <v>1640236.7700697824</v>
      </c>
      <c r="D17" s="11"/>
    </row>
    <row r="18" spans="2:4">
      <c r="B18" s="10"/>
      <c r="C18" s="11"/>
      <c r="D18" s="11"/>
    </row>
    <row r="19" spans="2:4">
      <c r="B19" s="27" t="s">
        <v>153</v>
      </c>
      <c r="C19" s="11"/>
      <c r="D19" s="11"/>
    </row>
    <row r="20" spans="2:4">
      <c r="B20" s="10" t="s">
        <v>154</v>
      </c>
      <c r="C20" s="11">
        <f>Accounts!D21</f>
        <v>6962491.6960987523</v>
      </c>
      <c r="D20" s="11"/>
    </row>
    <row r="21" spans="2:4">
      <c r="B21" s="10" t="s">
        <v>155</v>
      </c>
      <c r="C21" s="11">
        <f>Accounts!D46</f>
        <v>2568390.4266909016</v>
      </c>
      <c r="D21" s="11"/>
    </row>
    <row r="22" spans="2:4">
      <c r="B22" s="10" t="s">
        <v>156</v>
      </c>
      <c r="C22" s="11">
        <f>Accounts!D72</f>
        <v>936918.32252856379</v>
      </c>
      <c r="D22" s="11"/>
    </row>
    <row r="23" spans="2:4">
      <c r="B23" s="10"/>
      <c r="C23" s="11"/>
      <c r="D23" s="11"/>
    </row>
    <row r="24" spans="2:4">
      <c r="B24" s="27" t="s">
        <v>8</v>
      </c>
      <c r="C24" s="11"/>
      <c r="D24" s="11"/>
    </row>
    <row r="25" spans="2:4">
      <c r="B25" s="10" t="s">
        <v>157</v>
      </c>
      <c r="C25" s="11">
        <f>Accounts!D108</f>
        <v>16000</v>
      </c>
      <c r="D25" s="11"/>
    </row>
    <row r="26" spans="2:4">
      <c r="B26" s="10" t="s">
        <v>158</v>
      </c>
      <c r="C26" s="11">
        <f>Accounts!D113</f>
        <v>12000</v>
      </c>
      <c r="D26" s="11"/>
    </row>
    <row r="27" spans="2:4">
      <c r="B27" s="10" t="s">
        <v>159</v>
      </c>
      <c r="C27" s="11">
        <f>Accounts!D115</f>
        <v>137186.64000000001</v>
      </c>
      <c r="D27" s="11"/>
    </row>
    <row r="28" spans="2:4">
      <c r="B28" s="10"/>
      <c r="C28" s="11"/>
      <c r="D28" s="11"/>
    </row>
    <row r="29" spans="2:4">
      <c r="B29" s="10" t="s">
        <v>160</v>
      </c>
      <c r="C29" s="11">
        <f>Accounts!D120</f>
        <v>100329.79514699947</v>
      </c>
      <c r="D29" s="11"/>
    </row>
    <row r="30" spans="2:4">
      <c r="B30" s="10"/>
      <c r="C30" s="11"/>
      <c r="D30" s="11"/>
    </row>
    <row r="31" spans="2:4" ht="72.5">
      <c r="B31" s="65" t="s">
        <v>162</v>
      </c>
      <c r="C31" s="66">
        <v>250</v>
      </c>
      <c r="D31" s="66"/>
    </row>
    <row r="32" spans="2:4">
      <c r="B32" s="10"/>
      <c r="C32" s="11"/>
      <c r="D32" s="11"/>
    </row>
    <row r="33" spans="2:4" ht="14.5" thickBot="1">
      <c r="B33" s="13" t="s">
        <v>47</v>
      </c>
      <c r="C33" s="8">
        <f>SUM(C8:C29)-C31</f>
        <v>13552455.810000001</v>
      </c>
      <c r="D33" s="8">
        <f>SUM(D8:D29)</f>
        <v>13552455.810000001</v>
      </c>
    </row>
    <row r="34" spans="2:4" ht="14.5" thickTop="1">
      <c r="C34" s="64"/>
      <c r="D34" s="64"/>
    </row>
    <row r="35" spans="2:4">
      <c r="C35" s="64"/>
      <c r="D35" s="64"/>
    </row>
    <row r="36" spans="2:4">
      <c r="C36" s="64"/>
      <c r="D36" s="64"/>
    </row>
    <row r="37" spans="2:4">
      <c r="C37" s="64"/>
      <c r="D37" s="64"/>
    </row>
    <row r="38" spans="2:4">
      <c r="C38" s="64"/>
      <c r="D38" s="64"/>
    </row>
    <row r="39" spans="2:4">
      <c r="C39" s="64"/>
      <c r="D39" s="64"/>
    </row>
    <row r="40" spans="2:4">
      <c r="C40" s="64"/>
      <c r="D40" s="64"/>
    </row>
    <row r="41" spans="2:4">
      <c r="C41" s="64"/>
      <c r="D41" s="64"/>
    </row>
    <row r="42" spans="2:4">
      <c r="C42" s="64"/>
      <c r="D42" s="64"/>
    </row>
    <row r="43" spans="2:4">
      <c r="C43" s="64"/>
      <c r="D43" s="64"/>
    </row>
    <row r="44" spans="2:4">
      <c r="C44" s="64"/>
      <c r="D44" s="64"/>
    </row>
    <row r="45" spans="2:4">
      <c r="C45" s="64"/>
      <c r="D45" s="64"/>
    </row>
    <row r="46" spans="2:4">
      <c r="C46" s="64"/>
      <c r="D46" s="64"/>
    </row>
    <row r="47" spans="2:4">
      <c r="C47" s="64"/>
      <c r="D47" s="64"/>
    </row>
    <row r="48" spans="2:4">
      <c r="C48" s="64"/>
      <c r="D48" s="64"/>
    </row>
    <row r="49" spans="3:4">
      <c r="C49" s="64"/>
      <c r="D49" s="64"/>
    </row>
    <row r="50" spans="3:4">
      <c r="C50" s="64"/>
      <c r="D50" s="64"/>
    </row>
    <row r="51" spans="3:4">
      <c r="C51" s="64"/>
      <c r="D51" s="64"/>
    </row>
    <row r="52" spans="3:4">
      <c r="C52" s="64"/>
      <c r="D52" s="64"/>
    </row>
    <row r="53" spans="3:4">
      <c r="C53" s="64"/>
      <c r="D53" s="64"/>
    </row>
    <row r="54" spans="3:4">
      <c r="C54" s="64"/>
      <c r="D54" s="64"/>
    </row>
    <row r="55" spans="3:4">
      <c r="C55" s="64"/>
      <c r="D55" s="64"/>
    </row>
    <row r="56" spans="3:4">
      <c r="C56" s="64"/>
      <c r="D56" s="64"/>
    </row>
    <row r="57" spans="3:4">
      <c r="C57" s="64"/>
      <c r="D57" s="64"/>
    </row>
    <row r="58" spans="3:4">
      <c r="C58" s="64"/>
      <c r="D58" s="64"/>
    </row>
    <row r="59" spans="3:4">
      <c r="C59" s="63"/>
      <c r="D59" s="63"/>
    </row>
    <row r="60" spans="3:4">
      <c r="C60" s="63"/>
      <c r="D60" s="63"/>
    </row>
    <row r="61" spans="3:4">
      <c r="C61" s="63"/>
      <c r="D61" s="63"/>
    </row>
    <row r="62" spans="3:4">
      <c r="C62" s="63"/>
      <c r="D62" s="63"/>
    </row>
    <row r="63" spans="3:4">
      <c r="C63" s="63"/>
      <c r="D63" s="63"/>
    </row>
    <row r="64" spans="3:4">
      <c r="C64" s="63"/>
      <c r="D64" s="63"/>
    </row>
    <row r="65" spans="3:4">
      <c r="C65" s="63"/>
      <c r="D65" s="63"/>
    </row>
    <row r="66" spans="3:4">
      <c r="C66" s="63"/>
      <c r="D66" s="63"/>
    </row>
  </sheetData>
  <mergeCells count="3">
    <mergeCell ref="B4:D4"/>
    <mergeCell ref="B5:D5"/>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4343A-8D35-4C4B-90C4-E79B0E112BA0}">
  <dimension ref="B2:E79"/>
  <sheetViews>
    <sheetView showGridLines="0" topLeftCell="A70" workbookViewId="0">
      <selection activeCell="B84" sqref="B84"/>
    </sheetView>
  </sheetViews>
  <sheetFormatPr defaultRowHeight="14"/>
  <cols>
    <col min="1" max="1" width="2.6328125" style="1" customWidth="1"/>
    <col min="2" max="2" width="30.6328125" style="1" customWidth="1"/>
    <col min="3" max="5" width="20.6328125" style="1" customWidth="1"/>
    <col min="6" max="6" width="8.90625" style="1" bestFit="1" customWidth="1"/>
    <col min="7" max="16384" width="8.7265625" style="1"/>
  </cols>
  <sheetData>
    <row r="2" spans="2:5">
      <c r="B2" s="1" t="s">
        <v>0</v>
      </c>
    </row>
    <row r="4" spans="2:5">
      <c r="B4" s="37" t="s">
        <v>1</v>
      </c>
      <c r="C4" s="37"/>
      <c r="D4" s="37"/>
      <c r="E4" s="37"/>
    </row>
    <row r="5" spans="2:5">
      <c r="B5" s="38" t="s">
        <v>2</v>
      </c>
      <c r="C5" s="38"/>
      <c r="D5" s="38"/>
      <c r="E5" s="38"/>
    </row>
    <row r="6" spans="2:5">
      <c r="B6" s="37" t="s">
        <v>7</v>
      </c>
      <c r="C6" s="37"/>
      <c r="D6" s="37"/>
      <c r="E6" s="37"/>
    </row>
    <row r="7" spans="2:5">
      <c r="B7" s="2" t="s">
        <v>3</v>
      </c>
      <c r="C7" s="3" t="s">
        <v>4</v>
      </c>
      <c r="D7" s="3" t="s">
        <v>5</v>
      </c>
      <c r="E7" s="3" t="s">
        <v>6</v>
      </c>
    </row>
    <row r="8" spans="2:5">
      <c r="B8" s="4" t="s">
        <v>9</v>
      </c>
      <c r="C8" s="5">
        <v>9100000</v>
      </c>
      <c r="D8" s="5">
        <f>$D$12/$C$12*C8</f>
        <v>175812.96974547047</v>
      </c>
      <c r="E8" s="5">
        <f>$E$12/$C$12*C8</f>
        <v>33244.634279143509</v>
      </c>
    </row>
    <row r="9" spans="2:5">
      <c r="B9" s="4" t="s">
        <v>57</v>
      </c>
      <c r="C9" s="5">
        <v>3500000</v>
      </c>
      <c r="D9" s="5">
        <f t="shared" ref="D9:D11" si="0">$D$12/$C$12*C9</f>
        <v>67620.372979027103</v>
      </c>
      <c r="E9" s="5">
        <f t="shared" ref="E9:E11" si="1">$E$12/$C$12*C9</f>
        <v>12786.39779967058</v>
      </c>
    </row>
    <row r="10" spans="2:5">
      <c r="B10" s="4" t="s">
        <v>58</v>
      </c>
      <c r="C10" s="5">
        <f>1150000+120876.76</f>
        <v>1270876.76</v>
      </c>
      <c r="D10" s="5">
        <f>$D$12/$C$12*C10</f>
        <v>24553.474434736432</v>
      </c>
      <c r="E10" s="5">
        <f>$E$12/$C$12*C10</f>
        <v>4642.8388022047075</v>
      </c>
    </row>
    <row r="11" spans="2:5">
      <c r="B11" s="6" t="s">
        <v>8</v>
      </c>
      <c r="C11" s="7">
        <f>SUM(230894.1+43700+88405.08)</f>
        <v>362999.18</v>
      </c>
      <c r="D11" s="7">
        <f>$D$12/$C$12*C11</f>
        <v>7013.1828407659987</v>
      </c>
      <c r="E11" s="7">
        <f t="shared" si="1"/>
        <v>1326.1291189812071</v>
      </c>
    </row>
    <row r="12" spans="2:5" ht="14.5" thickBot="1">
      <c r="B12" s="13" t="s">
        <v>17</v>
      </c>
      <c r="C12" s="8">
        <f>SUM(C8:C11)</f>
        <v>14233875.939999999</v>
      </c>
      <c r="D12" s="8">
        <f>D23</f>
        <v>275000</v>
      </c>
      <c r="E12" s="8">
        <v>52000</v>
      </c>
    </row>
    <row r="13" spans="2:5" ht="14.5" thickTop="1"/>
    <row r="14" spans="2:5">
      <c r="B14" s="39" t="s">
        <v>12</v>
      </c>
      <c r="C14" s="40"/>
      <c r="D14" s="41"/>
    </row>
    <row r="15" spans="2:5" ht="28">
      <c r="B15" s="9" t="s">
        <v>13</v>
      </c>
      <c r="C15" s="14" t="s">
        <v>14</v>
      </c>
      <c r="D15" s="14" t="s">
        <v>5</v>
      </c>
    </row>
    <row r="16" spans="2:5">
      <c r="B16" s="10" t="s">
        <v>15</v>
      </c>
      <c r="C16" s="11">
        <f>C12</f>
        <v>14233875.939999999</v>
      </c>
      <c r="D16" s="11"/>
    </row>
    <row r="17" spans="2:4" ht="28">
      <c r="B17" s="10" t="s">
        <v>16</v>
      </c>
      <c r="C17" s="11">
        <v>150000</v>
      </c>
      <c r="D17" s="11">
        <v>1000</v>
      </c>
    </row>
    <row r="18" spans="2:4" ht="14.5" thickBot="1">
      <c r="B18" s="11" t="s">
        <v>18</v>
      </c>
      <c r="C18" s="8">
        <f>C16-C17</f>
        <v>14083875.939999999</v>
      </c>
      <c r="D18" s="8"/>
    </row>
    <row r="19" spans="2:4" ht="42.5" thickTop="1">
      <c r="B19" s="15" t="s">
        <v>19</v>
      </c>
      <c r="C19" s="16">
        <f>C18/5000</f>
        <v>2816.7751880000001</v>
      </c>
      <c r="D19" s="16"/>
    </row>
    <row r="20" spans="2:4">
      <c r="B20" s="10" t="s">
        <v>10</v>
      </c>
      <c r="C20" s="11"/>
      <c r="D20" s="11">
        <f>2816*275</f>
        <v>774400</v>
      </c>
    </row>
    <row r="21" spans="2:4" ht="14.5" thickBot="1">
      <c r="B21" s="13" t="s">
        <v>17</v>
      </c>
      <c r="C21" s="8"/>
      <c r="D21" s="8">
        <f>SUM(D17,D20)</f>
        <v>775400</v>
      </c>
    </row>
    <row r="22" spans="2:4" ht="14.5" thickTop="1">
      <c r="B22" s="15"/>
      <c r="C22" s="16"/>
      <c r="D22" s="16"/>
    </row>
    <row r="23" spans="2:4" ht="28.5" thickBot="1">
      <c r="B23" s="17" t="s">
        <v>11</v>
      </c>
      <c r="C23" s="18"/>
      <c r="D23" s="18">
        <v>275000</v>
      </c>
    </row>
    <row r="24" spans="2:4" ht="14.5" thickTop="1"/>
    <row r="25" spans="2:4">
      <c r="B25" s="35" t="s">
        <v>30</v>
      </c>
      <c r="C25" s="35"/>
    </row>
    <row r="26" spans="2:4">
      <c r="B26" s="35" t="s">
        <v>31</v>
      </c>
      <c r="C26" s="35"/>
    </row>
    <row r="27" spans="2:4">
      <c r="B27" s="27" t="s">
        <v>9</v>
      </c>
      <c r="C27" s="11"/>
    </row>
    <row r="28" spans="2:4" ht="28">
      <c r="B28" s="10" t="s">
        <v>32</v>
      </c>
      <c r="C28" s="11">
        <f>Accounts!E9*3%</f>
        <v>273000</v>
      </c>
    </row>
    <row r="29" spans="2:4">
      <c r="B29" s="10" t="s">
        <v>33</v>
      </c>
      <c r="C29" s="11">
        <f>Accounts!C9*3%*15%</f>
        <v>5341.304347826087</v>
      </c>
    </row>
    <row r="30" spans="2:4" ht="14.5" thickBot="1">
      <c r="B30" s="13" t="s">
        <v>36</v>
      </c>
      <c r="C30" s="8">
        <f>C28-C29</f>
        <v>267658.69565217389</v>
      </c>
    </row>
    <row r="31" spans="2:4" ht="28.5" thickTop="1">
      <c r="B31" s="15" t="s">
        <v>34</v>
      </c>
      <c r="C31" s="16">
        <f>C30*15%</f>
        <v>40148.804347826081</v>
      </c>
    </row>
    <row r="32" spans="2:4" ht="14.5" thickBot="1">
      <c r="B32" s="13" t="s">
        <v>35</v>
      </c>
      <c r="C32" s="8">
        <f>SUM(C30:C31)</f>
        <v>307807.5</v>
      </c>
    </row>
    <row r="33" spans="2:3" ht="14.5" thickTop="1"/>
    <row r="34" spans="2:3">
      <c r="B34" s="27" t="s">
        <v>57</v>
      </c>
      <c r="C34" s="11"/>
    </row>
    <row r="35" spans="2:3" ht="28">
      <c r="B35" s="10" t="s">
        <v>50</v>
      </c>
      <c r="C35" s="11">
        <f>Accounts!E33*10%</f>
        <v>350000</v>
      </c>
    </row>
    <row r="36" spans="2:3">
      <c r="B36" s="10" t="s">
        <v>51</v>
      </c>
      <c r="C36" s="11">
        <f>Accounts!C33*10%*15%</f>
        <v>6847.826086956522</v>
      </c>
    </row>
    <row r="37" spans="2:3" ht="14.5" thickBot="1">
      <c r="B37" s="13" t="s">
        <v>36</v>
      </c>
      <c r="C37" s="8">
        <f>C35-C36</f>
        <v>343152.17391304346</v>
      </c>
    </row>
    <row r="38" spans="2:3" ht="28.5" thickTop="1">
      <c r="B38" s="15" t="s">
        <v>52</v>
      </c>
      <c r="C38" s="16">
        <f>C37*15%</f>
        <v>51472.82608695652</v>
      </c>
    </row>
    <row r="39" spans="2:3" ht="14.5" thickBot="1">
      <c r="B39" s="13" t="s">
        <v>35</v>
      </c>
      <c r="C39" s="8">
        <f>SUM(C37:C38)</f>
        <v>394625</v>
      </c>
    </row>
    <row r="40" spans="2:3" ht="14.5" thickTop="1"/>
    <row r="41" spans="2:3">
      <c r="B41" s="27" t="s">
        <v>58</v>
      </c>
      <c r="C41" s="11"/>
    </row>
    <row r="42" spans="2:3">
      <c r="B42" s="42" t="s">
        <v>75</v>
      </c>
      <c r="C42" s="43"/>
    </row>
    <row r="43" spans="2:3" ht="28">
      <c r="B43" s="10" t="s">
        <v>69</v>
      </c>
      <c r="C43" s="11">
        <f>Accounts!E60*10%</f>
        <v>115000</v>
      </c>
    </row>
    <row r="44" spans="2:3">
      <c r="B44" s="10" t="s">
        <v>70</v>
      </c>
      <c r="C44" s="11">
        <f>Accounts!C60*10%*15%</f>
        <v>2250</v>
      </c>
    </row>
    <row r="45" spans="2:3" ht="14.5" thickBot="1">
      <c r="B45" s="13" t="s">
        <v>36</v>
      </c>
      <c r="C45" s="8">
        <f>C43-C44</f>
        <v>112750</v>
      </c>
    </row>
    <row r="46" spans="2:3" ht="14.5" thickTop="1">
      <c r="B46" s="44"/>
      <c r="C46" s="45"/>
    </row>
    <row r="47" spans="2:3" ht="30" customHeight="1">
      <c r="B47" s="42" t="s">
        <v>76</v>
      </c>
      <c r="C47" s="43"/>
    </row>
    <row r="48" spans="2:3" ht="28">
      <c r="B48" s="10" t="s">
        <v>71</v>
      </c>
      <c r="C48" s="11">
        <f>Accounts!E61*10%</f>
        <v>12087.675999999999</v>
      </c>
    </row>
    <row r="49" spans="2:4">
      <c r="B49" s="10" t="s">
        <v>72</v>
      </c>
      <c r="C49" s="11">
        <f>Accounts!C61*10%*15%</f>
        <v>236.49800869565215</v>
      </c>
    </row>
    <row r="50" spans="2:4" ht="14.5" thickBot="1">
      <c r="B50" s="13" t="s">
        <v>36</v>
      </c>
      <c r="C50" s="8">
        <f>C48-C49</f>
        <v>11851.177991304347</v>
      </c>
    </row>
    <row r="51" spans="2:4" ht="14.5" thickTop="1">
      <c r="B51" s="44"/>
      <c r="C51" s="45"/>
    </row>
    <row r="52" spans="2:4">
      <c r="B52" s="10" t="s">
        <v>74</v>
      </c>
      <c r="C52" s="46">
        <f>C45</f>
        <v>112750</v>
      </c>
    </row>
    <row r="53" spans="2:4" ht="28">
      <c r="B53" s="10" t="s">
        <v>73</v>
      </c>
      <c r="C53" s="46">
        <f>C50</f>
        <v>11851.177991304347</v>
      </c>
    </row>
    <row r="54" spans="2:4">
      <c r="B54" s="10" t="s">
        <v>77</v>
      </c>
      <c r="C54" s="11">
        <f>SUM(C52:C53)*15%</f>
        <v>18690.17669869565</v>
      </c>
    </row>
    <row r="55" spans="2:4" ht="14.5" thickBot="1">
      <c r="B55" s="13" t="s">
        <v>35</v>
      </c>
      <c r="C55" s="8">
        <f>SUM(C52:C54)</f>
        <v>143291.35469000001</v>
      </c>
    </row>
    <row r="56" spans="2:4" ht="14.5" thickTop="1"/>
    <row r="57" spans="2:4">
      <c r="B57" s="27" t="s">
        <v>8</v>
      </c>
      <c r="C57" s="11"/>
    </row>
    <row r="58" spans="2:4" ht="28">
      <c r="B58" s="10" t="s">
        <v>86</v>
      </c>
      <c r="C58" s="11">
        <f>SUM(Accounts!E85:E86)*10%</f>
        <v>27459.41</v>
      </c>
    </row>
    <row r="59" spans="2:4">
      <c r="B59" s="10" t="s">
        <v>87</v>
      </c>
      <c r="C59" s="11">
        <f>SUM(Accounts!C85:C86)*10%*15%</f>
        <v>537.24932608695656</v>
      </c>
    </row>
    <row r="60" spans="2:4" ht="14.5" thickBot="1">
      <c r="B60" s="13" t="s">
        <v>36</v>
      </c>
      <c r="C60" s="8">
        <f>C58-C59</f>
        <v>26922.160673913044</v>
      </c>
    </row>
    <row r="61" spans="2:4" ht="14.5" thickTop="1">
      <c r="B61" s="15" t="s">
        <v>88</v>
      </c>
      <c r="C61" s="16">
        <f>C60*15%</f>
        <v>4038.3241010869565</v>
      </c>
    </row>
    <row r="62" spans="2:4" ht="14.5" thickBot="1">
      <c r="B62" s="13" t="s">
        <v>35</v>
      </c>
      <c r="C62" s="8">
        <f>SUM(C60:C61)</f>
        <v>30960.484775000001</v>
      </c>
    </row>
    <row r="63" spans="2:4" ht="14.5" thickTop="1"/>
    <row r="64" spans="2:4">
      <c r="B64" s="35" t="s">
        <v>54</v>
      </c>
      <c r="C64" s="35"/>
      <c r="D64" s="35"/>
    </row>
    <row r="65" spans="2:5">
      <c r="B65" s="36" t="s">
        <v>55</v>
      </c>
      <c r="C65" s="36"/>
      <c r="D65" s="36"/>
    </row>
    <row r="66" spans="2:5" ht="28">
      <c r="B66" s="9" t="s">
        <v>3</v>
      </c>
      <c r="C66" s="14" t="s">
        <v>4</v>
      </c>
      <c r="D66" s="14" t="s">
        <v>56</v>
      </c>
    </row>
    <row r="67" spans="2:5">
      <c r="B67" s="10" t="s">
        <v>57</v>
      </c>
      <c r="C67" s="11">
        <v>3500000</v>
      </c>
      <c r="D67" s="11">
        <f>$D$69/$C$69*C67</f>
        <v>32563.412579911575</v>
      </c>
    </row>
    <row r="68" spans="2:5">
      <c r="B68" s="10" t="s">
        <v>8</v>
      </c>
      <c r="C68" s="11">
        <f>SUM(230894.1+43700)</f>
        <v>274594.09999999998</v>
      </c>
      <c r="D68" s="11">
        <f>$D$69/$C$69*C68</f>
        <v>2554.7774200884273</v>
      </c>
    </row>
    <row r="69" spans="2:5" ht="14.5" thickBot="1">
      <c r="B69" s="13" t="s">
        <v>17</v>
      </c>
      <c r="C69" s="8">
        <f>SUM(C67:C68)</f>
        <v>3774594.1</v>
      </c>
      <c r="D69" s="8">
        <v>35118.19</v>
      </c>
    </row>
    <row r="70" spans="2:5" ht="14.5" thickTop="1"/>
    <row r="71" spans="2:5">
      <c r="B71" s="38" t="s">
        <v>128</v>
      </c>
      <c r="C71" s="38"/>
      <c r="D71" s="38"/>
      <c r="E71" s="38"/>
    </row>
    <row r="72" spans="2:5">
      <c r="B72" s="38" t="s">
        <v>129</v>
      </c>
      <c r="C72" s="38"/>
      <c r="D72" s="38"/>
      <c r="E72" s="38"/>
    </row>
    <row r="73" spans="2:5">
      <c r="B73" s="9" t="s">
        <v>3</v>
      </c>
      <c r="C73" s="14" t="s">
        <v>130</v>
      </c>
      <c r="D73" s="14" t="s">
        <v>131</v>
      </c>
      <c r="E73" s="14" t="s">
        <v>132</v>
      </c>
    </row>
    <row r="74" spans="2:5">
      <c r="B74" s="4" t="s">
        <v>9</v>
      </c>
      <c r="C74" s="11">
        <f>Accounts!C9</f>
        <v>1186956.5217391304</v>
      </c>
      <c r="D74" s="11">
        <f>SUM(Accounts!C12:C16)</f>
        <v>-116210.82186249699</v>
      </c>
      <c r="E74" s="11">
        <f>SUM(C74:D74)</f>
        <v>1070745.6998766335</v>
      </c>
    </row>
    <row r="75" spans="2:5">
      <c r="B75" s="4" t="s">
        <v>57</v>
      </c>
      <c r="C75" s="11">
        <f>Accounts!C33</f>
        <v>456521.73913043475</v>
      </c>
      <c r="D75" s="11">
        <f>SUM(Accounts!C37:C41)</f>
        <v>-61120.119179945497</v>
      </c>
      <c r="E75" s="11">
        <f t="shared" ref="E75:E77" si="2">SUM(C75:D75)</f>
        <v>395401.61995048926</v>
      </c>
    </row>
    <row r="76" spans="2:5">
      <c r="B76" s="4" t="s">
        <v>58</v>
      </c>
      <c r="C76" s="11">
        <f>SUM(Accounts!C60:C61)</f>
        <v>165766.53391304347</v>
      </c>
      <c r="D76" s="11">
        <f>SUM(Accounts!C64:C67)</f>
        <v>-19295.764368548436</v>
      </c>
      <c r="E76" s="11">
        <f t="shared" si="2"/>
        <v>146470.76954449504</v>
      </c>
    </row>
    <row r="77" spans="2:5">
      <c r="B77" s="6" t="s">
        <v>8</v>
      </c>
      <c r="C77" s="11">
        <f>SUM(Accounts!C85:C87)</f>
        <v>35816.621739130438</v>
      </c>
      <c r="D77" s="11">
        <f>SUM(Accounts!C90:C102)</f>
        <v>-8197.941040965603</v>
      </c>
      <c r="E77" s="11">
        <f t="shared" si="2"/>
        <v>27618.680698164833</v>
      </c>
    </row>
    <row r="78" spans="2:5" ht="14.5" thickBot="1">
      <c r="B78" s="13" t="s">
        <v>17</v>
      </c>
      <c r="C78" s="8">
        <f>SUM(C74:C77)</f>
        <v>1845061.4165217392</v>
      </c>
      <c r="D78" s="8">
        <f>SUM(D74:D77)</f>
        <v>-204824.64645195653</v>
      </c>
      <c r="E78" s="8">
        <f>SUM(E74:E77)</f>
        <v>1640236.7700697824</v>
      </c>
    </row>
    <row r="79" spans="2:5" ht="14.5" thickTop="1"/>
  </sheetData>
  <mergeCells count="12">
    <mergeCell ref="B71:E71"/>
    <mergeCell ref="B72:E72"/>
    <mergeCell ref="B64:D64"/>
    <mergeCell ref="B65:D65"/>
    <mergeCell ref="B4:E4"/>
    <mergeCell ref="B5:E5"/>
    <mergeCell ref="B6:E6"/>
    <mergeCell ref="B14:D14"/>
    <mergeCell ref="B26:C26"/>
    <mergeCell ref="B25:C25"/>
    <mergeCell ref="B42:C42"/>
    <mergeCell ref="B47:C47"/>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4B803-034A-42B2-8667-E7334D0D8921}">
  <dimension ref="B2:G431"/>
  <sheetViews>
    <sheetView showGridLines="0" topLeftCell="B1" zoomScale="115" zoomScaleNormal="115" workbookViewId="0">
      <selection activeCell="B126" sqref="B126"/>
    </sheetView>
  </sheetViews>
  <sheetFormatPr defaultRowHeight="14"/>
  <cols>
    <col min="1" max="1" width="2.6328125" style="19" customWidth="1"/>
    <col min="2" max="2" width="50.6328125" style="19" customWidth="1"/>
    <col min="3" max="5" width="20.6328125" style="19" customWidth="1"/>
    <col min="6" max="6" width="20.36328125" style="19" bestFit="1" customWidth="1"/>
    <col min="7" max="7" width="11.90625" style="19" bestFit="1" customWidth="1"/>
    <col min="8" max="16384" width="8.7265625" style="19"/>
  </cols>
  <sheetData>
    <row r="2" spans="2:5">
      <c r="B2" s="19" t="s">
        <v>0</v>
      </c>
    </row>
    <row r="4" spans="2:5">
      <c r="B4" s="36" t="s">
        <v>20</v>
      </c>
      <c r="C4" s="36"/>
      <c r="D4" s="36"/>
      <c r="E4" s="36"/>
    </row>
    <row r="5" spans="2:5" ht="30" customHeight="1">
      <c r="B5" s="35" t="s">
        <v>39</v>
      </c>
      <c r="C5" s="35"/>
      <c r="D5" s="35"/>
      <c r="E5" s="35"/>
    </row>
    <row r="6" spans="2:5">
      <c r="B6" s="36" t="s">
        <v>7</v>
      </c>
      <c r="C6" s="36"/>
      <c r="D6" s="36"/>
      <c r="E6" s="36"/>
    </row>
    <row r="7" spans="2:5">
      <c r="B7" s="21" t="s">
        <v>21</v>
      </c>
      <c r="C7" s="22" t="s">
        <v>22</v>
      </c>
      <c r="D7" s="22" t="s">
        <v>23</v>
      </c>
      <c r="E7" s="22" t="s">
        <v>24</v>
      </c>
    </row>
    <row r="8" spans="2:5">
      <c r="B8" s="27" t="s">
        <v>24</v>
      </c>
      <c r="C8" s="24"/>
      <c r="D8" s="24"/>
      <c r="E8" s="24"/>
    </row>
    <row r="9" spans="2:5" ht="42">
      <c r="B9" s="10" t="s">
        <v>25</v>
      </c>
      <c r="C9" s="25">
        <f>E9*15/115</f>
        <v>1186956.5217391304</v>
      </c>
      <c r="D9" s="25"/>
      <c r="E9" s="25">
        <v>9100000</v>
      </c>
    </row>
    <row r="10" spans="2:5">
      <c r="B10" s="10"/>
      <c r="C10" s="25"/>
      <c r="D10" s="25"/>
      <c r="E10" s="25"/>
    </row>
    <row r="11" spans="2:5">
      <c r="B11" s="27" t="s">
        <v>23</v>
      </c>
      <c r="C11" s="25"/>
      <c r="D11" s="25"/>
      <c r="E11" s="25"/>
    </row>
    <row r="12" spans="2:5">
      <c r="B12" s="10" t="s">
        <v>26</v>
      </c>
      <c r="C12" s="26" t="s">
        <v>27</v>
      </c>
      <c r="D12" s="25">
        <f>Schedules!D8</f>
        <v>175812.96974547047</v>
      </c>
      <c r="E12" s="25"/>
    </row>
    <row r="13" spans="2:5" ht="28">
      <c r="B13" s="10" t="s">
        <v>28</v>
      </c>
      <c r="C13" s="25">
        <f>-(D13*15/115)</f>
        <v>-4336.2566451056746</v>
      </c>
      <c r="D13" s="25">
        <f>Schedules!E8</f>
        <v>33244.634279143509</v>
      </c>
      <c r="E13" s="25"/>
    </row>
    <row r="14" spans="2:5">
      <c r="B14" s="10" t="s">
        <v>29</v>
      </c>
      <c r="C14" s="25">
        <f>-(Schedules!C31)</f>
        <v>-40148.804347826081</v>
      </c>
      <c r="D14" s="25">
        <f>Schedules!C32</f>
        <v>307807.5</v>
      </c>
      <c r="E14" s="25"/>
    </row>
    <row r="15" spans="2:5" ht="42">
      <c r="B15" s="10" t="s">
        <v>38</v>
      </c>
      <c r="C15" s="25">
        <f>-(D15*15/115)</f>
        <v>-55434.782608695656</v>
      </c>
      <c r="D15" s="25">
        <v>425000</v>
      </c>
      <c r="E15" s="25"/>
    </row>
    <row r="16" spans="2:5" ht="70">
      <c r="B16" s="10" t="s">
        <v>37</v>
      </c>
      <c r="C16" s="25">
        <f>-(D16*15/115)</f>
        <v>-16290.978260869566</v>
      </c>
      <c r="D16" s="25">
        <v>124897.5</v>
      </c>
      <c r="E16" s="25"/>
    </row>
    <row r="17" spans="2:7" ht="14.5" thickBot="1">
      <c r="B17" s="10" t="s">
        <v>40</v>
      </c>
      <c r="C17" s="25"/>
      <c r="D17" s="30">
        <f>SUM(C9,C12:C16)</f>
        <v>1070745.6998766332</v>
      </c>
      <c r="E17" s="25"/>
    </row>
    <row r="18" spans="2:7">
      <c r="B18" s="12" t="s">
        <v>41</v>
      </c>
      <c r="C18" s="28"/>
      <c r="D18" s="31">
        <f>SUM(D12:D17)</f>
        <v>2137508.3039012472</v>
      </c>
      <c r="E18" s="28"/>
    </row>
    <row r="19" spans="2:7">
      <c r="B19" s="10"/>
      <c r="C19" s="25"/>
      <c r="D19" s="25"/>
      <c r="E19" s="25"/>
    </row>
    <row r="20" spans="2:7">
      <c r="B20" s="27" t="s">
        <v>42</v>
      </c>
      <c r="C20" s="25"/>
      <c r="D20" s="25"/>
      <c r="E20" s="25"/>
    </row>
    <row r="21" spans="2:7" ht="28">
      <c r="B21" s="10" t="s">
        <v>43</v>
      </c>
      <c r="C21" s="25"/>
      <c r="D21" s="25">
        <f>E9-D18</f>
        <v>6962491.6960987523</v>
      </c>
      <c r="E21" s="25"/>
    </row>
    <row r="22" spans="2:7">
      <c r="B22" s="10" t="s">
        <v>44</v>
      </c>
      <c r="C22" s="25"/>
      <c r="D22" s="25"/>
      <c r="E22" s="25"/>
      <c r="G22" s="32"/>
    </row>
    <row r="23" spans="2:7" ht="28">
      <c r="B23" s="10" t="s">
        <v>45</v>
      </c>
      <c r="C23" s="25"/>
      <c r="D23" s="25"/>
      <c r="E23" s="25"/>
    </row>
    <row r="24" spans="2:7" ht="42">
      <c r="B24" s="10" t="s">
        <v>46</v>
      </c>
      <c r="C24" s="25"/>
      <c r="D24" s="25"/>
      <c r="E24" s="25"/>
    </row>
    <row r="25" spans="2:7" ht="14.5" thickBot="1">
      <c r="B25" s="29"/>
      <c r="C25" s="30"/>
      <c r="D25" s="30"/>
      <c r="E25" s="30"/>
    </row>
    <row r="26" spans="2:7" ht="14.5" thickBot="1">
      <c r="B26" s="33" t="s">
        <v>47</v>
      </c>
      <c r="C26" s="34"/>
      <c r="D26" s="34">
        <f>SUM(D18,D21)</f>
        <v>9100000</v>
      </c>
      <c r="E26" s="34">
        <f>SUM(E9)</f>
        <v>9100000</v>
      </c>
    </row>
    <row r="27" spans="2:7" ht="14.5" thickTop="1"/>
    <row r="28" spans="2:7">
      <c r="B28" s="36" t="s">
        <v>48</v>
      </c>
      <c r="C28" s="36"/>
      <c r="D28" s="36"/>
      <c r="E28" s="36"/>
    </row>
    <row r="29" spans="2:7" ht="29" customHeight="1">
      <c r="B29" s="35" t="s">
        <v>60</v>
      </c>
      <c r="C29" s="35"/>
      <c r="D29" s="35"/>
      <c r="E29" s="35"/>
    </row>
    <row r="30" spans="2:7">
      <c r="B30" s="36" t="s">
        <v>7</v>
      </c>
      <c r="C30" s="36"/>
      <c r="D30" s="36"/>
      <c r="E30" s="36"/>
    </row>
    <row r="31" spans="2:7">
      <c r="B31" s="21" t="s">
        <v>21</v>
      </c>
      <c r="C31" s="22" t="s">
        <v>22</v>
      </c>
      <c r="D31" s="22" t="s">
        <v>23</v>
      </c>
      <c r="E31" s="22" t="s">
        <v>24</v>
      </c>
    </row>
    <row r="32" spans="2:7">
      <c r="B32" s="27" t="s">
        <v>24</v>
      </c>
      <c r="C32" s="25"/>
      <c r="D32" s="25"/>
      <c r="E32" s="25"/>
    </row>
    <row r="33" spans="2:5" ht="28">
      <c r="B33" s="10" t="s">
        <v>49</v>
      </c>
      <c r="C33" s="25">
        <f>E33*15/115</f>
        <v>456521.73913043475</v>
      </c>
      <c r="D33" s="25"/>
      <c r="E33" s="25">
        <v>3500000</v>
      </c>
    </row>
    <row r="34" spans="2:5">
      <c r="B34" s="10"/>
      <c r="C34" s="25"/>
      <c r="D34" s="25"/>
      <c r="E34" s="25"/>
    </row>
    <row r="35" spans="2:5">
      <c r="B35" s="10"/>
      <c r="C35" s="25"/>
      <c r="D35" s="25"/>
      <c r="E35" s="25"/>
    </row>
    <row r="36" spans="2:5">
      <c r="B36" s="27" t="s">
        <v>23</v>
      </c>
      <c r="C36" s="25"/>
      <c r="D36" s="25"/>
      <c r="E36" s="25"/>
    </row>
    <row r="37" spans="2:5">
      <c r="B37" s="10" t="s">
        <v>26</v>
      </c>
      <c r="C37" s="26" t="s">
        <v>27</v>
      </c>
      <c r="D37" s="25">
        <f>Schedules!D9</f>
        <v>67620.372979027103</v>
      </c>
      <c r="E37" s="25"/>
    </row>
    <row r="38" spans="2:5" ht="28">
      <c r="B38" s="10" t="s">
        <v>28</v>
      </c>
      <c r="C38" s="25">
        <f>-(D38*15/115)</f>
        <v>-1667.7910173483365</v>
      </c>
      <c r="D38" s="25">
        <f>Schedules!E9</f>
        <v>12786.39779967058</v>
      </c>
      <c r="E38" s="25"/>
    </row>
    <row r="39" spans="2:5">
      <c r="B39" s="10" t="s">
        <v>29</v>
      </c>
      <c r="C39" s="25">
        <f>-Schedules!C38</f>
        <v>-51472.82608695652</v>
      </c>
      <c r="D39" s="25">
        <f>Schedules!C39</f>
        <v>394625</v>
      </c>
      <c r="E39" s="25"/>
    </row>
    <row r="40" spans="2:5" ht="28">
      <c r="B40" s="10" t="s">
        <v>53</v>
      </c>
      <c r="C40" s="25">
        <f>-(D40*15/115)</f>
        <v>-3732.1004347826088</v>
      </c>
      <c r="D40" s="25">
        <v>28612.77</v>
      </c>
      <c r="E40" s="25"/>
    </row>
    <row r="41" spans="2:5" ht="28">
      <c r="B41" s="10" t="s">
        <v>59</v>
      </c>
      <c r="C41" s="25">
        <f>-(D41*15/115)</f>
        <v>-4247.4016408580319</v>
      </c>
      <c r="D41" s="25">
        <f>Schedules!D67</f>
        <v>32563.412579911575</v>
      </c>
      <c r="E41" s="25"/>
    </row>
    <row r="42" spans="2:5" ht="14.5" thickBot="1">
      <c r="B42" s="10" t="s">
        <v>40</v>
      </c>
      <c r="C42" s="25"/>
      <c r="D42" s="25">
        <f>SUM(C33:C41)</f>
        <v>395401.6199504892</v>
      </c>
      <c r="E42" s="25"/>
    </row>
    <row r="43" spans="2:5">
      <c r="B43" s="12" t="s">
        <v>41</v>
      </c>
      <c r="C43" s="25"/>
      <c r="D43" s="31">
        <f>SUM(D37:D42)</f>
        <v>931609.57330909837</v>
      </c>
      <c r="E43" s="25"/>
    </row>
    <row r="44" spans="2:5">
      <c r="B44" s="10"/>
      <c r="C44" s="25"/>
      <c r="D44" s="25"/>
      <c r="E44" s="25"/>
    </row>
    <row r="45" spans="2:5">
      <c r="B45" s="27" t="s">
        <v>42</v>
      </c>
      <c r="C45" s="25"/>
      <c r="D45" s="25"/>
      <c r="E45" s="25"/>
    </row>
    <row r="46" spans="2:5" ht="42">
      <c r="B46" s="10" t="s">
        <v>61</v>
      </c>
      <c r="C46" s="25"/>
      <c r="D46" s="25">
        <f>E33-D43</f>
        <v>2568390.4266909016</v>
      </c>
      <c r="E46" s="25"/>
    </row>
    <row r="47" spans="2:5">
      <c r="B47" s="10" t="s">
        <v>62</v>
      </c>
      <c r="C47" s="25"/>
      <c r="D47" s="25"/>
      <c r="E47" s="25"/>
    </row>
    <row r="48" spans="2:5" ht="28">
      <c r="B48" s="10" t="s">
        <v>63</v>
      </c>
      <c r="C48" s="25"/>
      <c r="D48" s="25"/>
      <c r="E48" s="25"/>
    </row>
    <row r="49" spans="2:5">
      <c r="B49" s="10"/>
      <c r="C49" s="25"/>
      <c r="D49" s="25"/>
      <c r="E49" s="25"/>
    </row>
    <row r="50" spans="2:5" ht="28">
      <c r="B50" s="10" t="s">
        <v>64</v>
      </c>
      <c r="C50" s="25"/>
      <c r="D50" s="25"/>
      <c r="E50" s="25"/>
    </row>
    <row r="51" spans="2:5" ht="28">
      <c r="B51" s="10" t="s">
        <v>65</v>
      </c>
      <c r="C51" s="25"/>
      <c r="D51" s="25"/>
      <c r="E51" s="25"/>
    </row>
    <row r="52" spans="2:5" ht="14.5" thickBot="1">
      <c r="B52" s="10"/>
      <c r="C52" s="25"/>
      <c r="D52" s="25"/>
      <c r="E52" s="25"/>
    </row>
    <row r="53" spans="2:5" ht="14.5" thickBot="1">
      <c r="B53" s="33" t="s">
        <v>47</v>
      </c>
      <c r="C53" s="34"/>
      <c r="D53" s="34">
        <f>SUM(D43,D46)</f>
        <v>3500000</v>
      </c>
      <c r="E53" s="34">
        <f>SUM(E33)</f>
        <v>3500000</v>
      </c>
    </row>
    <row r="54" spans="2:5" ht="14.5" thickTop="1"/>
    <row r="55" spans="2:5">
      <c r="B55" s="36" t="s">
        <v>133</v>
      </c>
      <c r="C55" s="36"/>
      <c r="D55" s="36"/>
      <c r="E55" s="36"/>
    </row>
    <row r="56" spans="2:5" ht="28.5" customHeight="1">
      <c r="B56" s="35" t="s">
        <v>66</v>
      </c>
      <c r="C56" s="35"/>
      <c r="D56" s="35"/>
      <c r="E56" s="35"/>
    </row>
    <row r="57" spans="2:5">
      <c r="B57" s="36" t="s">
        <v>7</v>
      </c>
      <c r="C57" s="36"/>
      <c r="D57" s="36"/>
      <c r="E57" s="36"/>
    </row>
    <row r="58" spans="2:5">
      <c r="B58" s="21" t="s">
        <v>21</v>
      </c>
      <c r="C58" s="22" t="s">
        <v>22</v>
      </c>
      <c r="D58" s="22" t="s">
        <v>23</v>
      </c>
      <c r="E58" s="22" t="s">
        <v>24</v>
      </c>
    </row>
    <row r="59" spans="2:5">
      <c r="B59" s="27" t="s">
        <v>24</v>
      </c>
      <c r="C59" s="24"/>
      <c r="D59" s="24"/>
      <c r="E59" s="24"/>
    </row>
    <row r="60" spans="2:5" ht="42">
      <c r="B60" s="10" t="s">
        <v>67</v>
      </c>
      <c r="C60" s="25">
        <f>E60*15/115</f>
        <v>150000</v>
      </c>
      <c r="D60" s="25"/>
      <c r="E60" s="25">
        <v>1150000</v>
      </c>
    </row>
    <row r="61" spans="2:5" ht="70">
      <c r="B61" s="10" t="s">
        <v>68</v>
      </c>
      <c r="C61" s="25">
        <f>E61*15/115</f>
        <v>15766.533913043477</v>
      </c>
      <c r="D61" s="25"/>
      <c r="E61" s="25">
        <v>120876.76</v>
      </c>
    </row>
    <row r="62" spans="2:5">
      <c r="B62" s="10"/>
      <c r="C62" s="25"/>
      <c r="D62" s="25"/>
      <c r="E62" s="25"/>
    </row>
    <row r="63" spans="2:5">
      <c r="B63" s="27" t="s">
        <v>23</v>
      </c>
      <c r="C63" s="25"/>
      <c r="D63" s="25"/>
      <c r="E63" s="25"/>
    </row>
    <row r="64" spans="2:5">
      <c r="B64" s="10" t="s">
        <v>26</v>
      </c>
      <c r="C64" s="26" t="s">
        <v>27</v>
      </c>
      <c r="D64" s="25">
        <f>Schedules!D10</f>
        <v>24553.474434736432</v>
      </c>
      <c r="E64" s="25"/>
    </row>
    <row r="65" spans="2:6" ht="28">
      <c r="B65" s="10" t="s">
        <v>28</v>
      </c>
      <c r="C65" s="25">
        <f>-(D65*15/115)</f>
        <v>-605.58766985278794</v>
      </c>
      <c r="D65" s="25">
        <f>Schedules!E10</f>
        <v>4642.8388022047075</v>
      </c>
      <c r="E65" s="25"/>
    </row>
    <row r="66" spans="2:6">
      <c r="B66" s="10" t="s">
        <v>29</v>
      </c>
      <c r="C66" s="25">
        <f>-Schedules!C54</f>
        <v>-18690.17669869565</v>
      </c>
      <c r="D66" s="25">
        <f>Schedules!C55</f>
        <v>143291.35469000001</v>
      </c>
      <c r="E66" s="25"/>
    </row>
    <row r="67" spans="2:6" ht="28">
      <c r="B67" s="10" t="s">
        <v>78</v>
      </c>
      <c r="C67" s="26" t="s">
        <v>27</v>
      </c>
      <c r="D67" s="25">
        <v>15000</v>
      </c>
      <c r="E67" s="25"/>
    </row>
    <row r="68" spans="2:6" ht="14.5" thickBot="1">
      <c r="B68" s="10" t="s">
        <v>40</v>
      </c>
      <c r="C68" s="25"/>
      <c r="D68" s="25">
        <f>SUM(C60:C67)</f>
        <v>146470.76954449504</v>
      </c>
      <c r="E68" s="25"/>
    </row>
    <row r="69" spans="2:6">
      <c r="B69" s="12" t="s">
        <v>41</v>
      </c>
      <c r="C69" s="25"/>
      <c r="D69" s="31">
        <f>SUM(D64:D68)</f>
        <v>333958.43747143622</v>
      </c>
      <c r="E69" s="25"/>
    </row>
    <row r="70" spans="2:6">
      <c r="B70" s="10"/>
      <c r="C70" s="25"/>
      <c r="D70" s="25"/>
      <c r="E70" s="25"/>
    </row>
    <row r="71" spans="2:6">
      <c r="B71" s="27" t="s">
        <v>42</v>
      </c>
      <c r="C71" s="25"/>
      <c r="D71" s="25"/>
      <c r="E71" s="25"/>
    </row>
    <row r="72" spans="2:6" ht="42">
      <c r="B72" s="10" t="s">
        <v>79</v>
      </c>
      <c r="C72" s="25"/>
      <c r="D72" s="25">
        <f>SUM(E60:E61)-D69</f>
        <v>936918.32252856379</v>
      </c>
      <c r="E72" s="25"/>
    </row>
    <row r="73" spans="2:6">
      <c r="B73" s="10" t="s">
        <v>80</v>
      </c>
      <c r="C73" s="25"/>
      <c r="D73" s="25"/>
      <c r="E73" s="25"/>
      <c r="F73" s="32"/>
    </row>
    <row r="74" spans="2:6" ht="28">
      <c r="B74" s="10" t="s">
        <v>81</v>
      </c>
      <c r="C74" s="25"/>
      <c r="D74" s="25"/>
      <c r="E74" s="25"/>
      <c r="F74" s="48"/>
    </row>
    <row r="75" spans="2:6">
      <c r="B75" s="10"/>
      <c r="C75" s="25"/>
      <c r="D75" s="25"/>
      <c r="E75" s="25"/>
    </row>
    <row r="76" spans="2:6" ht="28">
      <c r="B76" s="10" t="s">
        <v>64</v>
      </c>
      <c r="C76" s="25"/>
      <c r="D76" s="25"/>
      <c r="E76" s="25"/>
    </row>
    <row r="77" spans="2:6" ht="28">
      <c r="B77" s="10" t="s">
        <v>134</v>
      </c>
      <c r="C77" s="25"/>
      <c r="D77" s="25"/>
      <c r="E77" s="25"/>
      <c r="F77" s="48"/>
    </row>
    <row r="78" spans="2:6" ht="14.5" thickBot="1">
      <c r="B78" s="10"/>
      <c r="C78" s="25"/>
      <c r="D78" s="25"/>
      <c r="E78" s="25"/>
    </row>
    <row r="79" spans="2:6" ht="14.5" thickBot="1">
      <c r="B79" s="33" t="s">
        <v>47</v>
      </c>
      <c r="C79" s="34"/>
      <c r="D79" s="34">
        <f>SUM(D69,D72)</f>
        <v>1270876.76</v>
      </c>
      <c r="E79" s="34">
        <f>SUM(E60:E61)</f>
        <v>1270876.76</v>
      </c>
    </row>
    <row r="80" spans="2:6" ht="14.5" thickTop="1"/>
    <row r="81" spans="2:6">
      <c r="B81" s="35" t="s">
        <v>82</v>
      </c>
      <c r="C81" s="35"/>
      <c r="D81" s="35"/>
      <c r="E81" s="35"/>
    </row>
    <row r="82" spans="2:6">
      <c r="B82" s="36" t="s">
        <v>7</v>
      </c>
      <c r="C82" s="36"/>
      <c r="D82" s="36"/>
      <c r="E82" s="36"/>
    </row>
    <row r="83" spans="2:6">
      <c r="B83" s="21" t="s">
        <v>21</v>
      </c>
      <c r="C83" s="22" t="s">
        <v>22</v>
      </c>
      <c r="D83" s="22" t="s">
        <v>23</v>
      </c>
      <c r="E83" s="22" t="s">
        <v>24</v>
      </c>
    </row>
    <row r="84" spans="2:6">
      <c r="B84" s="27" t="s">
        <v>24</v>
      </c>
      <c r="C84" s="25"/>
      <c r="D84" s="25"/>
      <c r="E84" s="25"/>
    </row>
    <row r="85" spans="2:6" ht="168">
      <c r="B85" s="10" t="s">
        <v>85</v>
      </c>
      <c r="C85" s="25">
        <f>E85*15/115</f>
        <v>30116.621739130434</v>
      </c>
      <c r="D85" s="25"/>
      <c r="E85" s="25">
        <v>230894.1</v>
      </c>
      <c r="F85" s="47"/>
    </row>
    <row r="86" spans="2:6" ht="28">
      <c r="B86" s="10" t="s">
        <v>84</v>
      </c>
      <c r="C86" s="25">
        <f>E86*15/115</f>
        <v>5700</v>
      </c>
      <c r="D86" s="25"/>
      <c r="E86" s="25">
        <v>43700</v>
      </c>
    </row>
    <row r="87" spans="2:6" ht="28">
      <c r="B87" s="10" t="s">
        <v>83</v>
      </c>
      <c r="C87" s="26" t="s">
        <v>27</v>
      </c>
      <c r="D87" s="25"/>
      <c r="E87" s="25">
        <v>88405.08</v>
      </c>
    </row>
    <row r="88" spans="2:6">
      <c r="B88" s="10"/>
      <c r="C88" s="25"/>
      <c r="D88" s="25"/>
      <c r="E88" s="25"/>
    </row>
    <row r="89" spans="2:6">
      <c r="B89" s="27" t="s">
        <v>23</v>
      </c>
      <c r="C89" s="25"/>
      <c r="D89" s="25"/>
      <c r="E89" s="25"/>
    </row>
    <row r="90" spans="2:6">
      <c r="B90" s="10" t="s">
        <v>26</v>
      </c>
      <c r="C90" s="26" t="s">
        <v>27</v>
      </c>
      <c r="D90" s="25">
        <f>Schedules!D11</f>
        <v>7013.1828407659987</v>
      </c>
      <c r="E90" s="25"/>
    </row>
    <row r="91" spans="2:6" ht="28">
      <c r="B91" s="10" t="s">
        <v>28</v>
      </c>
      <c r="C91" s="25">
        <f>-(D91*15/115)</f>
        <v>-172.97336334537482</v>
      </c>
      <c r="D91" s="25">
        <f>Schedules!E11</f>
        <v>1326.1291189812071</v>
      </c>
      <c r="E91" s="25"/>
    </row>
    <row r="92" spans="2:6">
      <c r="B92" s="10" t="s">
        <v>29</v>
      </c>
      <c r="C92" s="25">
        <f>-Schedules!C61</f>
        <v>-4038.3241010869565</v>
      </c>
      <c r="D92" s="25">
        <f>Schedules!C62</f>
        <v>30960.484775000001</v>
      </c>
      <c r="E92" s="25"/>
    </row>
    <row r="93" spans="2:6" ht="28">
      <c r="B93" s="10" t="s">
        <v>59</v>
      </c>
      <c r="C93" s="25">
        <f>-(D93*15/115)</f>
        <v>-333.23183740283832</v>
      </c>
      <c r="D93" s="25">
        <f>Schedules!D68</f>
        <v>2554.7774200884273</v>
      </c>
      <c r="E93" s="25"/>
    </row>
    <row r="94" spans="2:6">
      <c r="B94" s="10" t="s">
        <v>89</v>
      </c>
      <c r="C94" s="25"/>
      <c r="D94" s="25"/>
      <c r="E94" s="25"/>
    </row>
    <row r="95" spans="2:6">
      <c r="B95" s="49" t="s">
        <v>91</v>
      </c>
      <c r="C95" s="25">
        <f t="shared" ref="C95:C99" si="0">-(D95*15/115)</f>
        <v>-120</v>
      </c>
      <c r="D95" s="25">
        <v>920</v>
      </c>
      <c r="E95" s="25"/>
    </row>
    <row r="96" spans="2:6">
      <c r="B96" s="49" t="s">
        <v>92</v>
      </c>
      <c r="C96" s="25">
        <f t="shared" si="0"/>
        <v>-4.9330434782608688</v>
      </c>
      <c r="D96" s="25">
        <v>37.82</v>
      </c>
      <c r="E96" s="25"/>
    </row>
    <row r="97" spans="2:5">
      <c r="B97" s="49" t="s">
        <v>93</v>
      </c>
      <c r="C97" s="25">
        <f t="shared" si="0"/>
        <v>-4.9330434782608688</v>
      </c>
      <c r="D97" s="25">
        <v>37.82</v>
      </c>
      <c r="E97" s="25"/>
    </row>
    <row r="98" spans="2:5">
      <c r="B98" s="49" t="s">
        <v>90</v>
      </c>
      <c r="C98" s="25">
        <f t="shared" si="0"/>
        <v>-4.9330434782608688</v>
      </c>
      <c r="D98" s="25">
        <v>37.82</v>
      </c>
      <c r="E98" s="25"/>
    </row>
    <row r="99" spans="2:5" ht="28">
      <c r="B99" s="10" t="s">
        <v>94</v>
      </c>
      <c r="C99" s="25">
        <f>-(D99*15/115)</f>
        <v>-52.173913043478258</v>
      </c>
      <c r="D99" s="25">
        <v>400</v>
      </c>
      <c r="E99" s="25"/>
    </row>
    <row r="100" spans="2:5">
      <c r="B100" s="10" t="s">
        <v>95</v>
      </c>
      <c r="C100" s="25">
        <f>-(D100*15/115)</f>
        <v>-134.34782608695653</v>
      </c>
      <c r="D100" s="25">
        <v>1030</v>
      </c>
      <c r="E100" s="25"/>
    </row>
    <row r="101" spans="2:5" ht="28">
      <c r="B101" s="10" t="s">
        <v>96</v>
      </c>
      <c r="C101" s="25">
        <f>-(D101*15/115)</f>
        <v>-901.83913043478265</v>
      </c>
      <c r="D101" s="25">
        <v>6914.1</v>
      </c>
      <c r="E101" s="25"/>
    </row>
    <row r="102" spans="2:5" ht="28">
      <c r="B102" s="10" t="s">
        <v>97</v>
      </c>
      <c r="C102" s="25">
        <f>-(D102*15/115)</f>
        <v>-2430.251739130435</v>
      </c>
      <c r="D102" s="25">
        <v>18631.93</v>
      </c>
      <c r="E102" s="25"/>
    </row>
    <row r="103" spans="2:5" ht="14.5" thickBot="1">
      <c r="B103" s="10" t="s">
        <v>40</v>
      </c>
      <c r="C103" s="25"/>
      <c r="D103" s="25">
        <f>SUM(C85:C102)</f>
        <v>27618.680698164833</v>
      </c>
      <c r="E103" s="25"/>
    </row>
    <row r="104" spans="2:5">
      <c r="B104" s="12" t="s">
        <v>41</v>
      </c>
      <c r="C104" s="25"/>
      <c r="D104" s="31">
        <f>SUM(D90:D103)</f>
        <v>97482.744853000477</v>
      </c>
      <c r="E104" s="25"/>
    </row>
    <row r="105" spans="2:5">
      <c r="B105" s="10"/>
      <c r="C105" s="25"/>
      <c r="D105" s="25"/>
      <c r="E105" s="25"/>
    </row>
    <row r="106" spans="2:5">
      <c r="B106" s="27" t="s">
        <v>42</v>
      </c>
      <c r="C106" s="25"/>
      <c r="D106" s="25"/>
      <c r="E106" s="25"/>
    </row>
    <row r="107" spans="2:5">
      <c r="B107" s="27" t="s">
        <v>124</v>
      </c>
      <c r="C107" s="25"/>
      <c r="D107" s="25"/>
      <c r="E107" s="25"/>
    </row>
    <row r="108" spans="2:5">
      <c r="B108" s="10" t="s">
        <v>125</v>
      </c>
      <c r="C108" s="25"/>
      <c r="D108" s="25">
        <f>12000+4000</f>
        <v>16000</v>
      </c>
      <c r="E108" s="25"/>
    </row>
    <row r="109" spans="2:5">
      <c r="B109" s="49" t="s">
        <v>119</v>
      </c>
      <c r="C109" s="25"/>
      <c r="D109" s="25"/>
      <c r="E109" s="25"/>
    </row>
    <row r="110" spans="2:5">
      <c r="B110" s="49" t="s">
        <v>120</v>
      </c>
      <c r="C110" s="25"/>
      <c r="D110" s="25"/>
      <c r="E110" s="25"/>
    </row>
    <row r="111" spans="2:5">
      <c r="B111" s="49"/>
      <c r="C111" s="25"/>
      <c r="D111" s="25"/>
      <c r="E111" s="25"/>
    </row>
    <row r="112" spans="2:5">
      <c r="B112" s="10" t="s">
        <v>121</v>
      </c>
      <c r="C112" s="25"/>
      <c r="D112" s="25"/>
      <c r="E112" s="25"/>
    </row>
    <row r="113" spans="2:5">
      <c r="B113" s="49" t="s">
        <v>119</v>
      </c>
      <c r="C113" s="25"/>
      <c r="D113" s="25">
        <v>12000</v>
      </c>
      <c r="E113" s="25"/>
    </row>
    <row r="114" spans="2:5">
      <c r="B114" s="49"/>
      <c r="C114" s="25"/>
      <c r="D114" s="25"/>
      <c r="E114" s="25"/>
    </row>
    <row r="115" spans="2:5">
      <c r="B115" s="10" t="s">
        <v>126</v>
      </c>
      <c r="C115" s="25"/>
      <c r="D115" s="25">
        <f>119345.02+17841.62</f>
        <v>137186.64000000001</v>
      </c>
      <c r="E115" s="25"/>
    </row>
    <row r="116" spans="2:5">
      <c r="B116" s="49" t="s">
        <v>122</v>
      </c>
      <c r="C116" s="25"/>
      <c r="D116" s="25"/>
      <c r="E116" s="25"/>
    </row>
    <row r="117" spans="2:5">
      <c r="B117" s="49" t="s">
        <v>123</v>
      </c>
      <c r="C117" s="25"/>
      <c r="D117" s="25"/>
      <c r="E117" s="25"/>
    </row>
    <row r="118" spans="2:5">
      <c r="B118" s="49"/>
      <c r="C118" s="25"/>
      <c r="D118" s="25"/>
      <c r="E118" s="25"/>
    </row>
    <row r="119" spans="2:5">
      <c r="B119" s="27" t="s">
        <v>127</v>
      </c>
      <c r="C119" s="25"/>
      <c r="D119" s="25"/>
      <c r="E119" s="25"/>
    </row>
    <row r="120" spans="2:5" ht="28">
      <c r="B120" s="56" t="s">
        <v>141</v>
      </c>
      <c r="C120" s="25"/>
      <c r="D120" s="25">
        <f>SUM(E85:E87)-SUM(D104,D108,D113,D115)</f>
        <v>100329.79514699947</v>
      </c>
      <c r="E120" s="25"/>
    </row>
    <row r="121" spans="2:5" ht="14.5" thickBot="1">
      <c r="B121" s="10"/>
      <c r="C121" s="25"/>
      <c r="D121" s="25"/>
      <c r="E121" s="25"/>
    </row>
    <row r="122" spans="2:5" ht="14.5" thickBot="1">
      <c r="B122" s="33" t="s">
        <v>47</v>
      </c>
      <c r="C122" s="34"/>
      <c r="D122" s="34">
        <f>SUM(D104,D108,D113,D115,D120)</f>
        <v>362999.18</v>
      </c>
      <c r="E122" s="34">
        <f>SUM(E85:E87)</f>
        <v>362999.18</v>
      </c>
    </row>
    <row r="123" spans="2:5" ht="14.5" thickTop="1">
      <c r="B123" s="1"/>
      <c r="C123" s="23"/>
      <c r="D123" s="23"/>
      <c r="E123" s="23"/>
    </row>
    <row r="124" spans="2:5">
      <c r="B124" s="1"/>
      <c r="D124" s="53"/>
      <c r="E124" s="23"/>
    </row>
    <row r="125" spans="2:5">
      <c r="B125" s="1"/>
      <c r="C125" s="23"/>
      <c r="D125" s="23"/>
      <c r="E125" s="23"/>
    </row>
    <row r="126" spans="2:5">
      <c r="B126" s="1"/>
      <c r="C126" s="23"/>
      <c r="D126" s="23"/>
      <c r="E126" s="23"/>
    </row>
    <row r="127" spans="2:5">
      <c r="B127" s="1"/>
      <c r="C127" s="23"/>
      <c r="D127" s="23"/>
      <c r="E127" s="23"/>
    </row>
    <row r="128" spans="2:5">
      <c r="B128" s="1"/>
      <c r="C128" s="23"/>
      <c r="D128" s="23"/>
      <c r="E128" s="23"/>
    </row>
    <row r="129" spans="2:5">
      <c r="B129" s="1"/>
      <c r="C129" s="23"/>
      <c r="D129" s="23"/>
      <c r="E129" s="23"/>
    </row>
    <row r="130" spans="2:5">
      <c r="B130" s="1"/>
      <c r="C130" s="23"/>
      <c r="D130" s="23"/>
      <c r="E130" s="23"/>
    </row>
    <row r="131" spans="2:5">
      <c r="B131" s="1"/>
      <c r="C131" s="23"/>
      <c r="D131" s="23"/>
      <c r="E131" s="23"/>
    </row>
    <row r="132" spans="2:5">
      <c r="B132" s="1"/>
      <c r="C132" s="23"/>
      <c r="D132" s="23"/>
      <c r="E132" s="23"/>
    </row>
    <row r="133" spans="2:5">
      <c r="B133" s="1"/>
      <c r="C133" s="23"/>
      <c r="D133" s="23"/>
      <c r="E133" s="23"/>
    </row>
    <row r="134" spans="2:5">
      <c r="B134" s="1"/>
      <c r="C134" s="23"/>
      <c r="D134" s="23"/>
      <c r="E134" s="23"/>
    </row>
    <row r="135" spans="2:5">
      <c r="B135" s="1"/>
      <c r="C135" s="23"/>
      <c r="D135" s="23"/>
      <c r="E135" s="23"/>
    </row>
    <row r="136" spans="2:5">
      <c r="B136" s="1"/>
      <c r="C136" s="23"/>
      <c r="D136" s="23"/>
      <c r="E136" s="23"/>
    </row>
    <row r="137" spans="2:5">
      <c r="B137" s="1"/>
      <c r="C137" s="23"/>
      <c r="D137" s="23"/>
      <c r="E137" s="23"/>
    </row>
    <row r="138" spans="2:5">
      <c r="B138" s="1"/>
      <c r="C138" s="23"/>
      <c r="D138" s="23"/>
      <c r="E138" s="23"/>
    </row>
    <row r="139" spans="2:5">
      <c r="B139" s="1"/>
      <c r="C139" s="23"/>
      <c r="D139" s="23"/>
      <c r="E139" s="23"/>
    </row>
    <row r="140" spans="2:5">
      <c r="B140" s="1"/>
      <c r="C140" s="23"/>
      <c r="D140" s="23"/>
      <c r="E140" s="23"/>
    </row>
    <row r="141" spans="2:5">
      <c r="B141" s="1"/>
      <c r="C141" s="23"/>
      <c r="D141" s="23"/>
      <c r="E141" s="23"/>
    </row>
    <row r="142" spans="2:5">
      <c r="B142" s="1"/>
      <c r="C142" s="23"/>
      <c r="D142" s="23"/>
      <c r="E142" s="23"/>
    </row>
    <row r="143" spans="2:5">
      <c r="B143" s="1"/>
      <c r="C143" s="23"/>
      <c r="D143" s="23"/>
      <c r="E143" s="23"/>
    </row>
    <row r="144" spans="2:5">
      <c r="B144" s="1"/>
      <c r="C144" s="23"/>
      <c r="D144" s="23"/>
      <c r="E144" s="23"/>
    </row>
    <row r="145" spans="2:5">
      <c r="B145" s="1"/>
      <c r="C145" s="23"/>
      <c r="D145" s="23"/>
      <c r="E145" s="23"/>
    </row>
    <row r="146" spans="2:5">
      <c r="B146" s="1"/>
      <c r="C146" s="23"/>
      <c r="D146" s="23"/>
      <c r="E146" s="23"/>
    </row>
    <row r="147" spans="2:5">
      <c r="B147" s="1"/>
      <c r="C147" s="23"/>
      <c r="D147" s="23"/>
      <c r="E147" s="23"/>
    </row>
    <row r="148" spans="2:5">
      <c r="B148" s="1"/>
      <c r="C148" s="23"/>
      <c r="D148" s="23"/>
      <c r="E148" s="23"/>
    </row>
    <row r="149" spans="2:5">
      <c r="B149" s="1"/>
      <c r="C149" s="23"/>
      <c r="D149" s="23"/>
      <c r="E149" s="23"/>
    </row>
    <row r="150" spans="2:5">
      <c r="B150" s="1"/>
      <c r="C150" s="23"/>
      <c r="D150" s="23"/>
      <c r="E150" s="23"/>
    </row>
    <row r="151" spans="2:5">
      <c r="B151" s="1"/>
      <c r="C151" s="23"/>
      <c r="D151" s="23"/>
      <c r="E151" s="23"/>
    </row>
    <row r="152" spans="2:5">
      <c r="B152" s="1"/>
      <c r="C152" s="23"/>
      <c r="D152" s="23"/>
      <c r="E152" s="23"/>
    </row>
    <row r="153" spans="2:5">
      <c r="B153" s="1"/>
      <c r="C153" s="23"/>
      <c r="D153" s="23"/>
      <c r="E153" s="23"/>
    </row>
    <row r="154" spans="2:5">
      <c r="B154" s="1"/>
      <c r="C154" s="23"/>
      <c r="D154" s="23"/>
      <c r="E154" s="23"/>
    </row>
    <row r="155" spans="2:5">
      <c r="B155" s="1"/>
      <c r="C155" s="23"/>
      <c r="D155" s="23"/>
      <c r="E155" s="23"/>
    </row>
    <row r="156" spans="2:5">
      <c r="B156" s="1"/>
      <c r="C156" s="23"/>
      <c r="D156" s="23"/>
      <c r="E156" s="23"/>
    </row>
    <row r="157" spans="2:5">
      <c r="B157" s="1"/>
      <c r="C157" s="23"/>
      <c r="D157" s="23"/>
      <c r="E157" s="23"/>
    </row>
    <row r="158" spans="2:5">
      <c r="B158" s="1"/>
      <c r="C158" s="23"/>
      <c r="D158" s="23"/>
      <c r="E158" s="23"/>
    </row>
    <row r="159" spans="2:5">
      <c r="B159" s="1"/>
      <c r="C159" s="23"/>
      <c r="D159" s="23"/>
      <c r="E159" s="23"/>
    </row>
    <row r="160" spans="2:5">
      <c r="B160" s="1"/>
      <c r="C160" s="23"/>
      <c r="D160" s="23"/>
      <c r="E160" s="23"/>
    </row>
    <row r="161" spans="2:5">
      <c r="B161" s="1"/>
      <c r="C161" s="23"/>
      <c r="D161" s="23"/>
      <c r="E161" s="23"/>
    </row>
    <row r="162" spans="2:5">
      <c r="B162" s="1"/>
      <c r="C162" s="23"/>
      <c r="D162" s="23"/>
      <c r="E162" s="23"/>
    </row>
    <row r="163" spans="2:5">
      <c r="B163" s="1"/>
      <c r="C163" s="23"/>
      <c r="D163" s="23"/>
      <c r="E163" s="23"/>
    </row>
    <row r="164" spans="2:5">
      <c r="B164" s="1"/>
      <c r="C164" s="23"/>
      <c r="D164" s="23"/>
      <c r="E164" s="23"/>
    </row>
    <row r="165" spans="2:5">
      <c r="B165" s="1"/>
      <c r="C165" s="23"/>
      <c r="D165" s="23"/>
      <c r="E165" s="23"/>
    </row>
    <row r="166" spans="2:5">
      <c r="B166" s="1"/>
      <c r="C166" s="23"/>
      <c r="D166" s="23"/>
      <c r="E166" s="23"/>
    </row>
    <row r="167" spans="2:5">
      <c r="B167" s="1"/>
      <c r="C167" s="23"/>
      <c r="D167" s="23"/>
      <c r="E167" s="23"/>
    </row>
    <row r="168" spans="2:5">
      <c r="B168" s="1"/>
      <c r="C168" s="23"/>
      <c r="D168" s="23"/>
      <c r="E168" s="23"/>
    </row>
    <row r="169" spans="2:5">
      <c r="B169" s="1"/>
      <c r="C169" s="23"/>
      <c r="D169" s="23"/>
      <c r="E169" s="23"/>
    </row>
    <row r="170" spans="2:5">
      <c r="B170" s="1"/>
      <c r="C170" s="23"/>
      <c r="D170" s="23"/>
      <c r="E170" s="23"/>
    </row>
    <row r="171" spans="2:5">
      <c r="B171" s="1"/>
      <c r="C171" s="23"/>
      <c r="D171" s="23"/>
      <c r="E171" s="23"/>
    </row>
    <row r="172" spans="2:5">
      <c r="B172" s="1"/>
      <c r="C172" s="23"/>
      <c r="D172" s="23"/>
      <c r="E172" s="23"/>
    </row>
    <row r="173" spans="2:5">
      <c r="B173" s="1"/>
      <c r="C173" s="23"/>
      <c r="D173" s="23"/>
      <c r="E173" s="23"/>
    </row>
    <row r="174" spans="2:5">
      <c r="B174" s="1"/>
      <c r="C174" s="23"/>
      <c r="D174" s="23"/>
      <c r="E174" s="23"/>
    </row>
    <row r="175" spans="2:5">
      <c r="B175" s="1"/>
      <c r="C175" s="23"/>
      <c r="D175" s="23"/>
      <c r="E175" s="23"/>
    </row>
    <row r="176" spans="2:5">
      <c r="B176" s="1"/>
      <c r="C176" s="23"/>
      <c r="D176" s="23"/>
      <c r="E176" s="23"/>
    </row>
    <row r="177" spans="2:5">
      <c r="B177" s="1"/>
      <c r="C177" s="23"/>
      <c r="D177" s="23"/>
      <c r="E177" s="23"/>
    </row>
    <row r="178" spans="2:5">
      <c r="B178" s="1"/>
      <c r="C178" s="23"/>
      <c r="D178" s="23"/>
      <c r="E178" s="23"/>
    </row>
    <row r="179" spans="2:5">
      <c r="B179" s="1"/>
      <c r="C179" s="23"/>
      <c r="D179" s="23"/>
      <c r="E179" s="23"/>
    </row>
    <row r="180" spans="2:5">
      <c r="B180" s="1"/>
      <c r="C180" s="23"/>
      <c r="D180" s="23"/>
      <c r="E180" s="23"/>
    </row>
    <row r="181" spans="2:5">
      <c r="B181" s="1"/>
      <c r="C181" s="23"/>
      <c r="D181" s="23"/>
      <c r="E181" s="23"/>
    </row>
    <row r="182" spans="2:5">
      <c r="B182" s="1"/>
      <c r="C182" s="23"/>
      <c r="D182" s="23"/>
      <c r="E182" s="23"/>
    </row>
    <row r="183" spans="2:5">
      <c r="B183" s="1"/>
      <c r="C183" s="23"/>
      <c r="D183" s="23"/>
      <c r="E183" s="23"/>
    </row>
    <row r="184" spans="2:5">
      <c r="B184" s="1"/>
      <c r="C184" s="23"/>
      <c r="D184" s="23"/>
      <c r="E184" s="23"/>
    </row>
    <row r="185" spans="2:5">
      <c r="B185" s="1"/>
      <c r="C185" s="23"/>
      <c r="D185" s="23"/>
      <c r="E185" s="23"/>
    </row>
    <row r="186" spans="2:5">
      <c r="B186" s="1"/>
      <c r="C186" s="23"/>
      <c r="D186" s="23"/>
      <c r="E186" s="23"/>
    </row>
    <row r="187" spans="2:5">
      <c r="B187" s="1"/>
      <c r="C187" s="23"/>
      <c r="D187" s="23"/>
      <c r="E187" s="23"/>
    </row>
    <row r="188" spans="2:5">
      <c r="B188" s="1"/>
      <c r="C188" s="23"/>
      <c r="D188" s="23"/>
      <c r="E188" s="23"/>
    </row>
    <row r="189" spans="2:5">
      <c r="B189" s="1"/>
      <c r="C189" s="23"/>
      <c r="D189" s="23"/>
      <c r="E189" s="23"/>
    </row>
    <row r="190" spans="2:5">
      <c r="B190" s="1"/>
      <c r="C190" s="23"/>
      <c r="D190" s="23"/>
      <c r="E190" s="23"/>
    </row>
    <row r="191" spans="2:5">
      <c r="B191" s="1"/>
      <c r="C191" s="23"/>
      <c r="D191" s="23"/>
      <c r="E191" s="23"/>
    </row>
    <row r="192" spans="2:5">
      <c r="B192" s="1"/>
      <c r="C192" s="23"/>
      <c r="D192" s="23"/>
      <c r="E192" s="23"/>
    </row>
    <row r="193" spans="2:5">
      <c r="B193" s="1"/>
      <c r="C193" s="23"/>
      <c r="D193" s="23"/>
      <c r="E193" s="23"/>
    </row>
    <row r="194" spans="2:5">
      <c r="B194" s="1"/>
      <c r="C194" s="23"/>
      <c r="D194" s="23"/>
      <c r="E194" s="23"/>
    </row>
    <row r="195" spans="2:5">
      <c r="B195" s="1"/>
      <c r="C195" s="23"/>
      <c r="D195" s="23"/>
      <c r="E195" s="23"/>
    </row>
    <row r="196" spans="2:5">
      <c r="B196" s="1"/>
      <c r="C196" s="23"/>
      <c r="D196" s="23"/>
      <c r="E196" s="23"/>
    </row>
    <row r="197" spans="2:5">
      <c r="B197" s="1"/>
      <c r="C197" s="23"/>
      <c r="D197" s="23"/>
      <c r="E197" s="23"/>
    </row>
    <row r="198" spans="2:5">
      <c r="B198" s="1"/>
      <c r="C198" s="23"/>
      <c r="D198" s="23"/>
      <c r="E198" s="23"/>
    </row>
    <row r="199" spans="2:5">
      <c r="B199" s="1"/>
      <c r="C199" s="23"/>
      <c r="D199" s="23"/>
      <c r="E199" s="23"/>
    </row>
    <row r="200" spans="2:5">
      <c r="B200" s="1"/>
      <c r="C200" s="23"/>
      <c r="D200" s="23"/>
      <c r="E200" s="23"/>
    </row>
    <row r="201" spans="2:5">
      <c r="B201" s="1"/>
      <c r="C201" s="23"/>
      <c r="D201" s="23"/>
      <c r="E201" s="23"/>
    </row>
    <row r="202" spans="2:5">
      <c r="B202" s="1"/>
      <c r="C202" s="23"/>
      <c r="D202" s="23"/>
      <c r="E202" s="23"/>
    </row>
    <row r="203" spans="2:5">
      <c r="B203" s="1"/>
      <c r="C203" s="23"/>
      <c r="D203" s="23"/>
      <c r="E203" s="23"/>
    </row>
    <row r="204" spans="2:5">
      <c r="B204" s="1"/>
      <c r="C204" s="23"/>
      <c r="D204" s="23"/>
      <c r="E204" s="23"/>
    </row>
    <row r="205" spans="2:5">
      <c r="B205" s="1"/>
      <c r="C205" s="23"/>
      <c r="D205" s="23"/>
      <c r="E205" s="23"/>
    </row>
    <row r="206" spans="2:5">
      <c r="B206" s="1"/>
      <c r="C206" s="23"/>
      <c r="D206" s="23"/>
      <c r="E206" s="23"/>
    </row>
    <row r="207" spans="2:5">
      <c r="B207" s="1"/>
      <c r="C207" s="23"/>
      <c r="D207" s="23"/>
      <c r="E207" s="23"/>
    </row>
    <row r="208" spans="2:5">
      <c r="B208" s="1"/>
      <c r="C208" s="23"/>
      <c r="D208" s="23"/>
      <c r="E208" s="23"/>
    </row>
    <row r="209" spans="2:5">
      <c r="B209" s="1"/>
      <c r="C209" s="23"/>
      <c r="D209" s="23"/>
      <c r="E209" s="23"/>
    </row>
    <row r="210" spans="2:5">
      <c r="B210" s="1"/>
      <c r="C210" s="23"/>
      <c r="D210" s="23"/>
      <c r="E210" s="23"/>
    </row>
    <row r="211" spans="2:5">
      <c r="B211" s="1"/>
      <c r="C211" s="23"/>
      <c r="D211" s="23"/>
      <c r="E211" s="23"/>
    </row>
    <row r="212" spans="2:5">
      <c r="B212" s="1"/>
      <c r="C212" s="23"/>
      <c r="D212" s="23"/>
      <c r="E212" s="23"/>
    </row>
    <row r="213" spans="2:5">
      <c r="B213" s="1"/>
      <c r="C213" s="23"/>
      <c r="D213" s="23"/>
      <c r="E213" s="23"/>
    </row>
    <row r="214" spans="2:5">
      <c r="B214" s="1"/>
      <c r="C214" s="23"/>
      <c r="D214" s="23"/>
      <c r="E214" s="23"/>
    </row>
    <row r="215" spans="2:5">
      <c r="B215" s="1"/>
      <c r="C215" s="23"/>
      <c r="D215" s="23"/>
      <c r="E215" s="23"/>
    </row>
    <row r="216" spans="2:5">
      <c r="B216" s="1"/>
      <c r="C216" s="23"/>
      <c r="D216" s="23"/>
      <c r="E216" s="23"/>
    </row>
    <row r="217" spans="2:5">
      <c r="B217" s="1"/>
      <c r="C217" s="23"/>
      <c r="D217" s="23"/>
      <c r="E217" s="23"/>
    </row>
    <row r="218" spans="2:5">
      <c r="B218" s="1"/>
      <c r="C218" s="23"/>
      <c r="D218" s="23"/>
      <c r="E218" s="23"/>
    </row>
    <row r="219" spans="2:5">
      <c r="B219" s="1"/>
      <c r="C219" s="23"/>
      <c r="D219" s="23"/>
      <c r="E219" s="23"/>
    </row>
    <row r="220" spans="2:5">
      <c r="B220" s="1"/>
      <c r="C220" s="23"/>
      <c r="D220" s="23"/>
      <c r="E220" s="23"/>
    </row>
    <row r="221" spans="2:5">
      <c r="B221" s="1"/>
      <c r="C221" s="23"/>
      <c r="D221" s="23"/>
      <c r="E221" s="23"/>
    </row>
    <row r="222" spans="2:5">
      <c r="B222" s="1"/>
      <c r="C222" s="23"/>
      <c r="D222" s="23"/>
      <c r="E222" s="23"/>
    </row>
    <row r="223" spans="2:5">
      <c r="B223" s="1"/>
      <c r="C223" s="23"/>
      <c r="D223" s="23"/>
      <c r="E223" s="23"/>
    </row>
    <row r="224" spans="2:5">
      <c r="B224" s="1"/>
      <c r="C224" s="23"/>
      <c r="D224" s="23"/>
      <c r="E224" s="23"/>
    </row>
    <row r="225" spans="2:5">
      <c r="B225" s="1"/>
      <c r="C225" s="23"/>
      <c r="D225" s="23"/>
      <c r="E225" s="23"/>
    </row>
    <row r="226" spans="2:5">
      <c r="B226" s="1"/>
      <c r="C226" s="23"/>
      <c r="D226" s="23"/>
      <c r="E226" s="23"/>
    </row>
    <row r="227" spans="2:5">
      <c r="B227" s="1"/>
      <c r="C227" s="23"/>
      <c r="D227" s="23"/>
      <c r="E227" s="23"/>
    </row>
    <row r="228" spans="2:5">
      <c r="B228" s="1"/>
      <c r="C228" s="23"/>
      <c r="D228" s="23"/>
      <c r="E228" s="23"/>
    </row>
    <row r="229" spans="2:5">
      <c r="B229" s="1"/>
      <c r="C229" s="23"/>
      <c r="D229" s="23"/>
      <c r="E229" s="23"/>
    </row>
    <row r="230" spans="2:5">
      <c r="B230" s="1"/>
      <c r="C230" s="23"/>
      <c r="D230" s="23"/>
      <c r="E230" s="23"/>
    </row>
    <row r="231" spans="2:5">
      <c r="B231" s="1"/>
      <c r="C231" s="23"/>
      <c r="D231" s="23"/>
      <c r="E231" s="23"/>
    </row>
    <row r="232" spans="2:5">
      <c r="B232" s="1"/>
      <c r="C232" s="23"/>
      <c r="D232" s="23"/>
      <c r="E232" s="23"/>
    </row>
    <row r="233" spans="2:5">
      <c r="B233" s="1"/>
      <c r="C233" s="23"/>
      <c r="D233" s="23"/>
      <c r="E233" s="23"/>
    </row>
    <row r="234" spans="2:5">
      <c r="B234" s="1"/>
      <c r="C234" s="23"/>
      <c r="D234" s="23"/>
      <c r="E234" s="23"/>
    </row>
    <row r="235" spans="2:5">
      <c r="B235" s="1"/>
      <c r="C235" s="23"/>
      <c r="D235" s="23"/>
      <c r="E235" s="23"/>
    </row>
    <row r="236" spans="2:5">
      <c r="B236" s="1"/>
      <c r="C236" s="23"/>
      <c r="D236" s="23"/>
      <c r="E236" s="23"/>
    </row>
    <row r="237" spans="2:5">
      <c r="B237" s="1"/>
      <c r="C237" s="23"/>
      <c r="D237" s="23"/>
      <c r="E237" s="23"/>
    </row>
    <row r="238" spans="2:5">
      <c r="B238" s="1"/>
      <c r="C238" s="23"/>
      <c r="D238" s="23"/>
      <c r="E238" s="23"/>
    </row>
    <row r="239" spans="2:5">
      <c r="B239" s="1"/>
      <c r="C239" s="23"/>
      <c r="D239" s="23"/>
      <c r="E239" s="23"/>
    </row>
    <row r="240" spans="2:5">
      <c r="B240" s="1"/>
      <c r="C240" s="23"/>
      <c r="D240" s="23"/>
      <c r="E240" s="23"/>
    </row>
    <row r="241" spans="2:5">
      <c r="B241" s="1"/>
      <c r="C241" s="23"/>
      <c r="D241" s="23"/>
      <c r="E241" s="23"/>
    </row>
    <row r="242" spans="2:5">
      <c r="B242" s="1"/>
      <c r="C242" s="23"/>
      <c r="D242" s="23"/>
      <c r="E242" s="23"/>
    </row>
    <row r="243" spans="2:5">
      <c r="B243" s="1"/>
      <c r="C243" s="23"/>
      <c r="D243" s="23"/>
      <c r="E243" s="23"/>
    </row>
    <row r="244" spans="2:5">
      <c r="B244" s="1"/>
      <c r="C244" s="23"/>
      <c r="D244" s="23"/>
      <c r="E244" s="23"/>
    </row>
    <row r="245" spans="2:5">
      <c r="B245" s="1"/>
      <c r="C245" s="23"/>
      <c r="D245" s="23"/>
      <c r="E245" s="23"/>
    </row>
    <row r="246" spans="2:5">
      <c r="B246" s="1"/>
      <c r="C246" s="23"/>
      <c r="D246" s="23"/>
      <c r="E246" s="23"/>
    </row>
    <row r="247" spans="2:5">
      <c r="B247" s="1"/>
      <c r="C247" s="23"/>
      <c r="D247" s="23"/>
      <c r="E247" s="23"/>
    </row>
    <row r="248" spans="2:5">
      <c r="B248" s="1"/>
      <c r="C248" s="23"/>
      <c r="D248" s="23"/>
      <c r="E248" s="23"/>
    </row>
    <row r="249" spans="2:5">
      <c r="B249" s="1"/>
      <c r="C249" s="23"/>
      <c r="D249" s="23"/>
      <c r="E249" s="23"/>
    </row>
    <row r="250" spans="2:5">
      <c r="B250" s="1"/>
      <c r="C250" s="23"/>
      <c r="D250" s="23"/>
      <c r="E250" s="23"/>
    </row>
    <row r="251" spans="2:5">
      <c r="B251" s="1"/>
      <c r="C251" s="23"/>
      <c r="D251" s="23"/>
      <c r="E251" s="23"/>
    </row>
    <row r="252" spans="2:5">
      <c r="B252" s="1"/>
      <c r="C252" s="23"/>
      <c r="D252" s="23"/>
      <c r="E252" s="23"/>
    </row>
    <row r="253" spans="2:5">
      <c r="B253" s="1"/>
      <c r="C253" s="23"/>
      <c r="D253" s="23"/>
      <c r="E253" s="23"/>
    </row>
    <row r="254" spans="2:5">
      <c r="B254" s="1"/>
      <c r="C254" s="23"/>
      <c r="D254" s="23"/>
      <c r="E254" s="23"/>
    </row>
    <row r="255" spans="2:5">
      <c r="B255" s="1"/>
      <c r="C255" s="23"/>
      <c r="D255" s="23"/>
      <c r="E255" s="23"/>
    </row>
    <row r="256" spans="2:5">
      <c r="B256" s="1"/>
      <c r="C256" s="23"/>
      <c r="D256" s="23"/>
      <c r="E256" s="23"/>
    </row>
    <row r="257" spans="2:5">
      <c r="B257" s="1"/>
      <c r="C257" s="23"/>
      <c r="D257" s="23"/>
      <c r="E257" s="23"/>
    </row>
    <row r="258" spans="2:5">
      <c r="B258" s="1"/>
      <c r="C258" s="23"/>
      <c r="D258" s="23"/>
      <c r="E258" s="23"/>
    </row>
    <row r="259" spans="2:5">
      <c r="B259" s="1"/>
      <c r="C259" s="23"/>
      <c r="D259" s="23"/>
      <c r="E259" s="23"/>
    </row>
    <row r="260" spans="2:5">
      <c r="B260" s="1"/>
      <c r="C260" s="23"/>
      <c r="D260" s="23"/>
      <c r="E260" s="23"/>
    </row>
    <row r="261" spans="2:5">
      <c r="B261" s="1"/>
      <c r="C261" s="23"/>
      <c r="D261" s="23"/>
      <c r="E261" s="23"/>
    </row>
    <row r="262" spans="2:5">
      <c r="B262" s="1"/>
      <c r="C262" s="23"/>
      <c r="D262" s="23"/>
      <c r="E262" s="23"/>
    </row>
    <row r="263" spans="2:5">
      <c r="B263" s="1"/>
      <c r="C263" s="23"/>
      <c r="D263" s="23"/>
      <c r="E263" s="23"/>
    </row>
    <row r="264" spans="2:5">
      <c r="B264" s="1"/>
      <c r="C264" s="23"/>
      <c r="D264" s="23"/>
      <c r="E264" s="23"/>
    </row>
    <row r="265" spans="2:5">
      <c r="B265" s="1"/>
      <c r="C265" s="23"/>
      <c r="D265" s="23"/>
      <c r="E265" s="23"/>
    </row>
    <row r="266" spans="2:5">
      <c r="B266" s="1"/>
      <c r="C266" s="23"/>
      <c r="D266" s="23"/>
      <c r="E266" s="23"/>
    </row>
    <row r="267" spans="2:5">
      <c r="B267" s="1"/>
      <c r="C267" s="23"/>
      <c r="D267" s="23"/>
      <c r="E267" s="23"/>
    </row>
    <row r="268" spans="2:5">
      <c r="B268" s="1"/>
      <c r="C268" s="23"/>
      <c r="D268" s="23"/>
      <c r="E268" s="23"/>
    </row>
    <row r="269" spans="2:5">
      <c r="B269" s="1"/>
      <c r="C269" s="23"/>
      <c r="D269" s="23"/>
      <c r="E269" s="23"/>
    </row>
    <row r="270" spans="2:5">
      <c r="B270" s="1"/>
      <c r="C270" s="23"/>
      <c r="D270" s="23"/>
      <c r="E270" s="23"/>
    </row>
    <row r="271" spans="2:5">
      <c r="B271" s="1"/>
      <c r="C271" s="23"/>
      <c r="D271" s="23"/>
      <c r="E271" s="23"/>
    </row>
    <row r="272" spans="2:5">
      <c r="B272" s="1"/>
      <c r="C272" s="23"/>
      <c r="D272" s="23"/>
      <c r="E272" s="23"/>
    </row>
    <row r="273" spans="2:5">
      <c r="B273" s="1"/>
      <c r="C273" s="23"/>
      <c r="D273" s="23"/>
      <c r="E273" s="23"/>
    </row>
    <row r="274" spans="2:5">
      <c r="B274" s="1"/>
      <c r="C274" s="23"/>
      <c r="D274" s="23"/>
      <c r="E274" s="23"/>
    </row>
    <row r="275" spans="2:5">
      <c r="B275" s="1"/>
      <c r="C275" s="23"/>
      <c r="D275" s="23"/>
      <c r="E275" s="23"/>
    </row>
    <row r="276" spans="2:5">
      <c r="B276" s="1"/>
      <c r="C276" s="23"/>
      <c r="D276" s="23"/>
      <c r="E276" s="23"/>
    </row>
    <row r="277" spans="2:5">
      <c r="B277" s="1"/>
      <c r="C277" s="23"/>
      <c r="D277" s="23"/>
      <c r="E277" s="23"/>
    </row>
    <row r="278" spans="2:5">
      <c r="B278" s="1"/>
      <c r="C278" s="23"/>
      <c r="D278" s="23"/>
      <c r="E278" s="23"/>
    </row>
    <row r="279" spans="2:5">
      <c r="B279" s="1"/>
      <c r="C279" s="23"/>
      <c r="D279" s="23"/>
      <c r="E279" s="23"/>
    </row>
    <row r="280" spans="2:5">
      <c r="B280" s="1"/>
      <c r="C280" s="23"/>
      <c r="D280" s="23"/>
      <c r="E280" s="23"/>
    </row>
    <row r="281" spans="2:5">
      <c r="B281" s="1"/>
      <c r="C281" s="23"/>
      <c r="D281" s="23"/>
      <c r="E281" s="23"/>
    </row>
    <row r="282" spans="2:5">
      <c r="B282" s="1"/>
      <c r="C282" s="23"/>
      <c r="D282" s="23"/>
      <c r="E282" s="23"/>
    </row>
    <row r="283" spans="2:5">
      <c r="B283" s="1"/>
      <c r="C283" s="23"/>
      <c r="D283" s="23"/>
      <c r="E283" s="23"/>
    </row>
    <row r="284" spans="2:5">
      <c r="B284" s="1"/>
      <c r="C284" s="23"/>
      <c r="D284" s="23"/>
      <c r="E284" s="23"/>
    </row>
    <row r="285" spans="2:5">
      <c r="B285" s="1"/>
      <c r="C285" s="23"/>
      <c r="D285" s="23"/>
      <c r="E285" s="23"/>
    </row>
    <row r="286" spans="2:5">
      <c r="B286" s="1"/>
      <c r="C286" s="23"/>
      <c r="D286" s="23"/>
      <c r="E286" s="23"/>
    </row>
    <row r="287" spans="2:5">
      <c r="B287" s="1"/>
      <c r="C287" s="23"/>
      <c r="D287" s="23"/>
      <c r="E287" s="23"/>
    </row>
    <row r="288" spans="2:5">
      <c r="B288" s="1"/>
      <c r="C288" s="23"/>
      <c r="D288" s="23"/>
      <c r="E288" s="23"/>
    </row>
    <row r="289" spans="2:5">
      <c r="B289" s="1"/>
      <c r="C289" s="23"/>
      <c r="D289" s="23"/>
      <c r="E289" s="23"/>
    </row>
    <row r="290" spans="2:5">
      <c r="B290" s="1"/>
      <c r="C290" s="23"/>
      <c r="D290" s="23"/>
      <c r="E290" s="23"/>
    </row>
    <row r="291" spans="2:5">
      <c r="B291" s="1"/>
      <c r="C291" s="23"/>
      <c r="D291" s="23"/>
      <c r="E291" s="23"/>
    </row>
    <row r="292" spans="2:5">
      <c r="B292" s="1"/>
      <c r="C292" s="23"/>
      <c r="D292" s="23"/>
      <c r="E292" s="23"/>
    </row>
    <row r="293" spans="2:5">
      <c r="B293" s="1"/>
      <c r="C293" s="23"/>
      <c r="D293" s="23"/>
      <c r="E293" s="23"/>
    </row>
    <row r="294" spans="2:5">
      <c r="B294" s="1"/>
      <c r="C294" s="23"/>
      <c r="D294" s="23"/>
      <c r="E294" s="23"/>
    </row>
    <row r="295" spans="2:5">
      <c r="B295" s="1"/>
      <c r="C295" s="23"/>
      <c r="D295" s="23"/>
      <c r="E295" s="23"/>
    </row>
    <row r="296" spans="2:5">
      <c r="B296" s="1"/>
      <c r="C296" s="23"/>
      <c r="D296" s="23"/>
      <c r="E296" s="23"/>
    </row>
    <row r="297" spans="2:5">
      <c r="B297" s="1"/>
      <c r="C297" s="23"/>
      <c r="D297" s="23"/>
      <c r="E297" s="23"/>
    </row>
    <row r="298" spans="2:5">
      <c r="B298" s="1"/>
      <c r="C298" s="23"/>
      <c r="D298" s="23"/>
      <c r="E298" s="23"/>
    </row>
    <row r="299" spans="2:5">
      <c r="B299" s="1"/>
      <c r="C299" s="23"/>
      <c r="D299" s="23"/>
      <c r="E299" s="23"/>
    </row>
    <row r="300" spans="2:5">
      <c r="B300" s="1"/>
      <c r="C300" s="23"/>
      <c r="D300" s="23"/>
      <c r="E300" s="23"/>
    </row>
    <row r="301" spans="2:5">
      <c r="B301" s="1"/>
      <c r="C301" s="23"/>
      <c r="D301" s="23"/>
      <c r="E301" s="23"/>
    </row>
    <row r="302" spans="2:5">
      <c r="B302" s="1"/>
      <c r="C302" s="23"/>
      <c r="D302" s="23"/>
      <c r="E302" s="23"/>
    </row>
    <row r="303" spans="2:5">
      <c r="B303" s="1"/>
      <c r="C303" s="23"/>
      <c r="D303" s="23"/>
      <c r="E303" s="23"/>
    </row>
    <row r="304" spans="2:5">
      <c r="B304" s="1"/>
      <c r="C304" s="23"/>
      <c r="D304" s="23"/>
      <c r="E304" s="23"/>
    </row>
    <row r="305" spans="2:5">
      <c r="B305" s="1"/>
      <c r="C305" s="23"/>
      <c r="D305" s="23"/>
      <c r="E305" s="23"/>
    </row>
    <row r="306" spans="2:5">
      <c r="B306" s="1"/>
      <c r="C306" s="23"/>
      <c r="D306" s="23"/>
      <c r="E306" s="23"/>
    </row>
    <row r="307" spans="2:5">
      <c r="B307" s="1"/>
      <c r="C307" s="23"/>
      <c r="D307" s="23"/>
      <c r="E307" s="23"/>
    </row>
    <row r="308" spans="2:5">
      <c r="B308" s="1"/>
      <c r="C308" s="23"/>
      <c r="D308" s="23"/>
      <c r="E308" s="23"/>
    </row>
    <row r="309" spans="2:5">
      <c r="B309" s="1"/>
      <c r="C309" s="23"/>
      <c r="D309" s="23"/>
      <c r="E309" s="23"/>
    </row>
    <row r="310" spans="2:5">
      <c r="B310" s="1"/>
      <c r="C310" s="23"/>
      <c r="D310" s="23"/>
      <c r="E310" s="23"/>
    </row>
    <row r="311" spans="2:5">
      <c r="B311" s="1"/>
      <c r="C311" s="23"/>
      <c r="D311" s="23"/>
      <c r="E311" s="23"/>
    </row>
    <row r="312" spans="2:5">
      <c r="B312" s="1"/>
      <c r="C312" s="23"/>
      <c r="D312" s="23"/>
      <c r="E312" s="23"/>
    </row>
    <row r="313" spans="2:5">
      <c r="B313" s="1"/>
      <c r="C313" s="23"/>
      <c r="D313" s="23"/>
      <c r="E313" s="23"/>
    </row>
    <row r="314" spans="2:5">
      <c r="B314" s="1"/>
      <c r="C314" s="23"/>
      <c r="D314" s="23"/>
      <c r="E314" s="23"/>
    </row>
    <row r="315" spans="2:5">
      <c r="B315" s="1"/>
      <c r="C315" s="23"/>
      <c r="D315" s="23"/>
      <c r="E315" s="23"/>
    </row>
    <row r="316" spans="2:5">
      <c r="B316" s="1"/>
      <c r="C316" s="23"/>
      <c r="D316" s="23"/>
      <c r="E316" s="23"/>
    </row>
    <row r="317" spans="2:5">
      <c r="B317" s="1"/>
      <c r="C317" s="23"/>
      <c r="D317" s="23"/>
      <c r="E317" s="23"/>
    </row>
    <row r="318" spans="2:5">
      <c r="B318" s="1"/>
      <c r="C318" s="23"/>
      <c r="D318" s="23"/>
      <c r="E318" s="23"/>
    </row>
    <row r="319" spans="2:5">
      <c r="B319" s="1"/>
      <c r="C319" s="23"/>
      <c r="D319" s="23"/>
      <c r="E319" s="23"/>
    </row>
    <row r="320" spans="2:5">
      <c r="B320" s="1"/>
      <c r="C320" s="23"/>
      <c r="D320" s="23"/>
      <c r="E320" s="23"/>
    </row>
    <row r="321" spans="2:5">
      <c r="B321" s="1"/>
      <c r="C321" s="23"/>
      <c r="D321" s="23"/>
      <c r="E321" s="23"/>
    </row>
    <row r="322" spans="2:5">
      <c r="B322" s="1"/>
      <c r="C322" s="23"/>
      <c r="D322" s="23"/>
      <c r="E322" s="23"/>
    </row>
    <row r="323" spans="2:5">
      <c r="B323" s="1"/>
      <c r="C323" s="23"/>
      <c r="D323" s="23"/>
      <c r="E323" s="23"/>
    </row>
    <row r="324" spans="2:5">
      <c r="B324" s="1"/>
      <c r="C324" s="23"/>
      <c r="D324" s="23"/>
      <c r="E324" s="23"/>
    </row>
    <row r="325" spans="2:5">
      <c r="B325" s="1"/>
      <c r="C325" s="23"/>
      <c r="D325" s="23"/>
      <c r="E325" s="23"/>
    </row>
    <row r="326" spans="2:5">
      <c r="B326" s="1"/>
      <c r="C326" s="23"/>
      <c r="D326" s="23"/>
      <c r="E326" s="23"/>
    </row>
    <row r="327" spans="2:5">
      <c r="B327" s="1"/>
      <c r="C327" s="23"/>
      <c r="D327" s="23"/>
      <c r="E327" s="23"/>
    </row>
    <row r="328" spans="2:5">
      <c r="B328" s="1"/>
      <c r="C328" s="23"/>
      <c r="D328" s="23"/>
      <c r="E328" s="23"/>
    </row>
    <row r="329" spans="2:5">
      <c r="B329" s="1"/>
      <c r="C329" s="23"/>
      <c r="D329" s="23"/>
      <c r="E329" s="23"/>
    </row>
    <row r="330" spans="2:5">
      <c r="B330" s="1"/>
      <c r="C330" s="23"/>
      <c r="D330" s="23"/>
      <c r="E330" s="23"/>
    </row>
    <row r="331" spans="2:5">
      <c r="B331" s="1"/>
      <c r="C331" s="23"/>
      <c r="D331" s="23"/>
      <c r="E331" s="23"/>
    </row>
    <row r="332" spans="2:5">
      <c r="B332" s="1"/>
      <c r="C332" s="23"/>
      <c r="D332" s="23"/>
      <c r="E332" s="23"/>
    </row>
    <row r="333" spans="2:5">
      <c r="B333" s="1"/>
      <c r="C333" s="23"/>
      <c r="D333" s="23"/>
      <c r="E333" s="23"/>
    </row>
    <row r="334" spans="2:5">
      <c r="B334" s="1"/>
      <c r="C334" s="23"/>
      <c r="D334" s="23"/>
      <c r="E334" s="23"/>
    </row>
    <row r="335" spans="2:5">
      <c r="B335" s="1"/>
      <c r="C335" s="23"/>
      <c r="D335" s="23"/>
      <c r="E335" s="23"/>
    </row>
    <row r="336" spans="2:5">
      <c r="B336" s="1"/>
      <c r="C336" s="23"/>
      <c r="D336" s="23"/>
      <c r="E336" s="23"/>
    </row>
    <row r="337" spans="2:5">
      <c r="B337" s="1"/>
      <c r="C337" s="23"/>
      <c r="D337" s="23"/>
      <c r="E337" s="23"/>
    </row>
    <row r="338" spans="2:5">
      <c r="B338" s="1"/>
      <c r="C338" s="23"/>
      <c r="D338" s="23"/>
      <c r="E338" s="23"/>
    </row>
    <row r="339" spans="2:5">
      <c r="B339" s="1"/>
      <c r="C339" s="23"/>
      <c r="D339" s="23"/>
      <c r="E339" s="23"/>
    </row>
    <row r="340" spans="2:5">
      <c r="B340" s="1"/>
      <c r="C340" s="23"/>
      <c r="D340" s="23"/>
      <c r="E340" s="23"/>
    </row>
    <row r="341" spans="2:5">
      <c r="B341" s="1"/>
      <c r="C341" s="23"/>
      <c r="D341" s="23"/>
      <c r="E341" s="23"/>
    </row>
    <row r="342" spans="2:5">
      <c r="B342" s="1"/>
      <c r="C342" s="23"/>
      <c r="D342" s="23"/>
      <c r="E342" s="23"/>
    </row>
    <row r="343" spans="2:5">
      <c r="B343" s="1"/>
      <c r="C343" s="23"/>
      <c r="D343" s="23"/>
      <c r="E343" s="23"/>
    </row>
    <row r="344" spans="2:5">
      <c r="B344" s="1"/>
      <c r="C344" s="23"/>
      <c r="D344" s="23"/>
      <c r="E344" s="23"/>
    </row>
    <row r="345" spans="2:5">
      <c r="B345" s="1"/>
      <c r="C345" s="23"/>
      <c r="D345" s="23"/>
      <c r="E345" s="23"/>
    </row>
    <row r="346" spans="2:5">
      <c r="B346" s="1"/>
      <c r="C346" s="23"/>
      <c r="D346" s="23"/>
      <c r="E346" s="23"/>
    </row>
    <row r="347" spans="2:5">
      <c r="B347" s="1"/>
      <c r="C347" s="23"/>
      <c r="D347" s="23"/>
      <c r="E347" s="23"/>
    </row>
    <row r="348" spans="2:5">
      <c r="B348" s="1"/>
      <c r="C348" s="23"/>
      <c r="D348" s="23"/>
      <c r="E348" s="23"/>
    </row>
    <row r="349" spans="2:5">
      <c r="B349" s="1"/>
      <c r="C349" s="23"/>
      <c r="D349" s="23"/>
      <c r="E349" s="23"/>
    </row>
    <row r="350" spans="2:5">
      <c r="B350" s="1"/>
      <c r="C350" s="23"/>
      <c r="D350" s="23"/>
      <c r="E350" s="23"/>
    </row>
    <row r="351" spans="2:5">
      <c r="B351" s="1"/>
      <c r="C351" s="23"/>
      <c r="D351" s="23"/>
      <c r="E351" s="23"/>
    </row>
    <row r="352" spans="2:5">
      <c r="B352" s="1"/>
      <c r="C352" s="23"/>
      <c r="D352" s="23"/>
      <c r="E352" s="23"/>
    </row>
    <row r="353" spans="2:5">
      <c r="B353" s="1"/>
      <c r="C353" s="23"/>
      <c r="D353" s="23"/>
      <c r="E353" s="23"/>
    </row>
    <row r="354" spans="2:5">
      <c r="B354" s="1"/>
      <c r="C354" s="23"/>
      <c r="D354" s="23"/>
      <c r="E354" s="23"/>
    </row>
    <row r="355" spans="2:5">
      <c r="B355" s="1"/>
      <c r="C355" s="23"/>
      <c r="D355" s="23"/>
      <c r="E355" s="23"/>
    </row>
    <row r="356" spans="2:5">
      <c r="B356" s="1"/>
      <c r="C356" s="23"/>
      <c r="D356" s="23"/>
      <c r="E356" s="23"/>
    </row>
    <row r="357" spans="2:5">
      <c r="B357" s="1"/>
      <c r="C357" s="23"/>
      <c r="D357" s="23"/>
      <c r="E357" s="23"/>
    </row>
    <row r="358" spans="2:5">
      <c r="B358" s="1"/>
      <c r="C358" s="23"/>
      <c r="D358" s="23"/>
      <c r="E358" s="23"/>
    </row>
    <row r="359" spans="2:5">
      <c r="B359" s="1"/>
      <c r="C359" s="23"/>
      <c r="D359" s="23"/>
      <c r="E359" s="23"/>
    </row>
    <row r="360" spans="2:5">
      <c r="B360" s="1"/>
      <c r="C360" s="23"/>
      <c r="D360" s="23"/>
      <c r="E360" s="23"/>
    </row>
    <row r="361" spans="2:5">
      <c r="B361" s="1"/>
      <c r="C361" s="23"/>
      <c r="D361" s="23"/>
      <c r="E361" s="23"/>
    </row>
    <row r="362" spans="2:5">
      <c r="B362" s="1"/>
      <c r="C362" s="23"/>
      <c r="D362" s="23"/>
      <c r="E362" s="23"/>
    </row>
    <row r="363" spans="2:5">
      <c r="B363" s="1"/>
      <c r="C363" s="23"/>
      <c r="D363" s="23"/>
      <c r="E363" s="23"/>
    </row>
    <row r="364" spans="2:5">
      <c r="B364" s="1"/>
      <c r="C364" s="23"/>
      <c r="D364" s="23"/>
      <c r="E364" s="23"/>
    </row>
    <row r="365" spans="2:5">
      <c r="B365" s="1"/>
      <c r="C365" s="23"/>
      <c r="D365" s="23"/>
      <c r="E365" s="23"/>
    </row>
    <row r="366" spans="2:5">
      <c r="B366" s="1"/>
      <c r="C366" s="23"/>
      <c r="D366" s="23"/>
      <c r="E366" s="23"/>
    </row>
    <row r="367" spans="2:5">
      <c r="B367" s="1"/>
      <c r="C367" s="23"/>
      <c r="D367" s="23"/>
      <c r="E367" s="23"/>
    </row>
    <row r="368" spans="2:5">
      <c r="B368" s="1"/>
      <c r="C368" s="23"/>
      <c r="D368" s="23"/>
      <c r="E368" s="23"/>
    </row>
    <row r="369" spans="2:5">
      <c r="B369" s="1"/>
      <c r="C369" s="23"/>
      <c r="D369" s="23"/>
      <c r="E369" s="23"/>
    </row>
    <row r="370" spans="2:5">
      <c r="B370" s="1"/>
      <c r="C370" s="23"/>
      <c r="D370" s="23"/>
      <c r="E370" s="23"/>
    </row>
    <row r="371" spans="2:5">
      <c r="B371" s="1"/>
      <c r="C371" s="23"/>
      <c r="D371" s="23"/>
      <c r="E371" s="23"/>
    </row>
    <row r="372" spans="2:5">
      <c r="B372" s="1"/>
      <c r="C372" s="23"/>
      <c r="D372" s="23"/>
      <c r="E372" s="23"/>
    </row>
    <row r="373" spans="2:5">
      <c r="B373" s="1"/>
      <c r="C373" s="23"/>
      <c r="D373" s="23"/>
      <c r="E373" s="23"/>
    </row>
    <row r="374" spans="2:5">
      <c r="B374" s="1"/>
      <c r="C374" s="23"/>
      <c r="D374" s="23"/>
      <c r="E374" s="23"/>
    </row>
    <row r="375" spans="2:5">
      <c r="B375" s="1"/>
      <c r="C375" s="23"/>
      <c r="D375" s="23"/>
      <c r="E375" s="23"/>
    </row>
    <row r="376" spans="2:5">
      <c r="B376" s="1"/>
      <c r="C376" s="23"/>
      <c r="D376" s="23"/>
      <c r="E376" s="23"/>
    </row>
    <row r="377" spans="2:5">
      <c r="B377" s="1"/>
      <c r="C377" s="23"/>
      <c r="D377" s="23"/>
      <c r="E377" s="23"/>
    </row>
    <row r="378" spans="2:5">
      <c r="B378" s="1"/>
      <c r="C378" s="23"/>
      <c r="D378" s="23"/>
      <c r="E378" s="23"/>
    </row>
    <row r="379" spans="2:5">
      <c r="B379" s="1"/>
      <c r="C379" s="23"/>
      <c r="D379" s="23"/>
      <c r="E379" s="23"/>
    </row>
    <row r="380" spans="2:5">
      <c r="B380" s="1"/>
      <c r="C380" s="23"/>
      <c r="D380" s="23"/>
      <c r="E380" s="23"/>
    </row>
    <row r="381" spans="2:5">
      <c r="B381" s="1"/>
      <c r="C381" s="23"/>
      <c r="D381" s="23"/>
      <c r="E381" s="23"/>
    </row>
    <row r="382" spans="2:5">
      <c r="B382" s="1"/>
      <c r="C382" s="23"/>
      <c r="D382" s="23"/>
      <c r="E382" s="23"/>
    </row>
    <row r="383" spans="2:5">
      <c r="B383" s="1"/>
      <c r="C383" s="23"/>
      <c r="D383" s="23"/>
      <c r="E383" s="23"/>
    </row>
    <row r="384" spans="2:5">
      <c r="B384" s="1"/>
      <c r="C384" s="23"/>
      <c r="D384" s="23"/>
      <c r="E384" s="23"/>
    </row>
    <row r="385" spans="2:5">
      <c r="B385" s="1"/>
      <c r="C385" s="23"/>
      <c r="D385" s="23"/>
      <c r="E385" s="23"/>
    </row>
    <row r="386" spans="2:5">
      <c r="B386" s="1"/>
      <c r="C386" s="23"/>
      <c r="D386" s="23"/>
      <c r="E386" s="23"/>
    </row>
    <row r="387" spans="2:5">
      <c r="B387" s="1"/>
      <c r="C387" s="23"/>
      <c r="D387" s="23"/>
      <c r="E387" s="23"/>
    </row>
    <row r="388" spans="2:5">
      <c r="B388" s="1"/>
      <c r="C388" s="23"/>
      <c r="D388" s="23"/>
      <c r="E388" s="23"/>
    </row>
    <row r="389" spans="2:5">
      <c r="B389" s="1"/>
      <c r="C389" s="23"/>
      <c r="D389" s="23"/>
      <c r="E389" s="23"/>
    </row>
    <row r="390" spans="2:5">
      <c r="B390" s="1"/>
      <c r="C390" s="23"/>
      <c r="D390" s="23"/>
      <c r="E390" s="23"/>
    </row>
    <row r="391" spans="2:5">
      <c r="B391" s="1"/>
      <c r="C391" s="23"/>
      <c r="D391" s="23"/>
      <c r="E391" s="23"/>
    </row>
    <row r="392" spans="2:5">
      <c r="B392" s="1"/>
      <c r="C392" s="23"/>
      <c r="D392" s="23"/>
      <c r="E392" s="23"/>
    </row>
    <row r="393" spans="2:5">
      <c r="B393" s="1"/>
      <c r="C393" s="23"/>
      <c r="D393" s="23"/>
      <c r="E393" s="23"/>
    </row>
    <row r="394" spans="2:5">
      <c r="B394" s="1"/>
      <c r="C394" s="23"/>
      <c r="D394" s="23"/>
      <c r="E394" s="23"/>
    </row>
    <row r="395" spans="2:5">
      <c r="B395" s="1"/>
      <c r="C395" s="23"/>
      <c r="D395" s="23"/>
      <c r="E395" s="23"/>
    </row>
    <row r="396" spans="2:5">
      <c r="B396" s="1"/>
      <c r="C396" s="23"/>
      <c r="D396" s="23"/>
      <c r="E396" s="23"/>
    </row>
    <row r="397" spans="2:5">
      <c r="B397" s="1"/>
      <c r="C397" s="23"/>
      <c r="D397" s="23"/>
      <c r="E397" s="23"/>
    </row>
    <row r="398" spans="2:5">
      <c r="B398" s="1"/>
      <c r="C398" s="23"/>
      <c r="D398" s="23"/>
      <c r="E398" s="23"/>
    </row>
    <row r="399" spans="2:5">
      <c r="B399" s="1"/>
      <c r="C399" s="23"/>
      <c r="D399" s="23"/>
      <c r="E399" s="23"/>
    </row>
    <row r="400" spans="2:5">
      <c r="B400" s="1"/>
      <c r="C400" s="23"/>
      <c r="D400" s="23"/>
      <c r="E400" s="23"/>
    </row>
    <row r="401" spans="2:5">
      <c r="B401" s="1"/>
      <c r="C401" s="23"/>
      <c r="D401" s="23"/>
      <c r="E401" s="23"/>
    </row>
    <row r="402" spans="2:5">
      <c r="B402" s="1"/>
      <c r="C402" s="23"/>
      <c r="D402" s="23"/>
      <c r="E402" s="23"/>
    </row>
    <row r="403" spans="2:5">
      <c r="B403" s="1"/>
      <c r="C403" s="23"/>
      <c r="D403" s="23"/>
      <c r="E403" s="23"/>
    </row>
    <row r="404" spans="2:5">
      <c r="B404" s="1"/>
      <c r="C404" s="23"/>
      <c r="D404" s="23"/>
      <c r="E404" s="23"/>
    </row>
    <row r="405" spans="2:5">
      <c r="B405" s="1"/>
      <c r="C405" s="23"/>
      <c r="D405" s="23"/>
      <c r="E405" s="23"/>
    </row>
    <row r="406" spans="2:5">
      <c r="B406" s="1"/>
      <c r="C406" s="23"/>
      <c r="D406" s="23"/>
      <c r="E406" s="23"/>
    </row>
    <row r="407" spans="2:5">
      <c r="B407" s="1"/>
      <c r="C407" s="23"/>
      <c r="D407" s="23"/>
      <c r="E407" s="23"/>
    </row>
    <row r="408" spans="2:5">
      <c r="B408" s="1"/>
      <c r="C408" s="23"/>
      <c r="D408" s="23"/>
      <c r="E408" s="23"/>
    </row>
    <row r="409" spans="2:5">
      <c r="B409" s="1"/>
      <c r="C409" s="23"/>
      <c r="D409" s="23"/>
      <c r="E409" s="23"/>
    </row>
    <row r="410" spans="2:5">
      <c r="B410" s="1"/>
      <c r="C410" s="23"/>
      <c r="D410" s="23"/>
      <c r="E410" s="23"/>
    </row>
    <row r="411" spans="2:5">
      <c r="B411" s="1"/>
      <c r="C411" s="23"/>
      <c r="D411" s="23"/>
      <c r="E411" s="23"/>
    </row>
    <row r="412" spans="2:5">
      <c r="B412" s="1"/>
      <c r="C412" s="23"/>
      <c r="D412" s="23"/>
      <c r="E412" s="23"/>
    </row>
    <row r="413" spans="2:5">
      <c r="B413" s="1"/>
      <c r="C413" s="23"/>
      <c r="D413" s="23"/>
      <c r="E413" s="23"/>
    </row>
    <row r="414" spans="2:5">
      <c r="B414" s="1"/>
      <c r="C414" s="23"/>
      <c r="D414" s="23"/>
      <c r="E414" s="23"/>
    </row>
    <row r="415" spans="2:5">
      <c r="B415" s="1"/>
      <c r="C415" s="23"/>
      <c r="D415" s="23"/>
      <c r="E415" s="23"/>
    </row>
    <row r="416" spans="2:5">
      <c r="B416" s="1"/>
      <c r="C416" s="23"/>
      <c r="D416" s="23"/>
      <c r="E416" s="23"/>
    </row>
    <row r="417" spans="2:5">
      <c r="B417" s="1"/>
      <c r="C417" s="23"/>
      <c r="D417" s="23"/>
      <c r="E417" s="23"/>
    </row>
    <row r="418" spans="2:5">
      <c r="B418" s="1"/>
      <c r="C418" s="23"/>
      <c r="D418" s="23"/>
      <c r="E418" s="23"/>
    </row>
    <row r="419" spans="2:5">
      <c r="B419" s="1"/>
      <c r="C419" s="23"/>
      <c r="D419" s="23"/>
      <c r="E419" s="23"/>
    </row>
    <row r="420" spans="2:5">
      <c r="B420" s="1"/>
      <c r="C420" s="23"/>
      <c r="D420" s="23"/>
      <c r="E420" s="23"/>
    </row>
    <row r="421" spans="2:5">
      <c r="B421" s="1"/>
      <c r="C421" s="23"/>
      <c r="D421" s="23"/>
      <c r="E421" s="23"/>
    </row>
    <row r="422" spans="2:5">
      <c r="B422" s="1"/>
      <c r="C422" s="23"/>
      <c r="D422" s="23"/>
      <c r="E422" s="23"/>
    </row>
    <row r="423" spans="2:5">
      <c r="B423" s="1"/>
      <c r="C423" s="23"/>
      <c r="D423" s="23"/>
      <c r="E423" s="23"/>
    </row>
    <row r="424" spans="2:5">
      <c r="B424" s="1"/>
      <c r="C424" s="23"/>
      <c r="D424" s="23"/>
      <c r="E424" s="23"/>
    </row>
    <row r="425" spans="2:5">
      <c r="B425" s="1"/>
      <c r="C425" s="23"/>
      <c r="D425" s="23"/>
      <c r="E425" s="23"/>
    </row>
    <row r="426" spans="2:5">
      <c r="B426" s="1"/>
      <c r="C426" s="23"/>
      <c r="D426" s="23"/>
      <c r="E426" s="23"/>
    </row>
    <row r="427" spans="2:5">
      <c r="B427" s="1"/>
      <c r="C427" s="23"/>
      <c r="D427" s="23"/>
      <c r="E427" s="23"/>
    </row>
    <row r="428" spans="2:5">
      <c r="B428" s="1"/>
      <c r="C428" s="23"/>
      <c r="D428" s="23"/>
      <c r="E428" s="23"/>
    </row>
    <row r="429" spans="2:5">
      <c r="B429" s="1"/>
      <c r="C429" s="23"/>
      <c r="D429" s="23"/>
      <c r="E429" s="23"/>
    </row>
    <row r="430" spans="2:5">
      <c r="B430" s="1"/>
      <c r="C430" s="23"/>
      <c r="D430" s="23"/>
      <c r="E430" s="23"/>
    </row>
    <row r="431" spans="2:5">
      <c r="C431" s="23"/>
      <c r="D431" s="23"/>
      <c r="E431" s="23"/>
    </row>
  </sheetData>
  <mergeCells count="11">
    <mergeCell ref="B81:E81"/>
    <mergeCell ref="B82:E82"/>
    <mergeCell ref="B55:E55"/>
    <mergeCell ref="B56:E56"/>
    <mergeCell ref="B57:E57"/>
    <mergeCell ref="B4:E4"/>
    <mergeCell ref="B5:E5"/>
    <mergeCell ref="B6:E6"/>
    <mergeCell ref="B28:E28"/>
    <mergeCell ref="B29:E29"/>
    <mergeCell ref="B30:E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6EB2-F9E9-4502-A868-7DCDB8139293}">
  <dimension ref="B2:I20"/>
  <sheetViews>
    <sheetView showGridLines="0" topLeftCell="A16" workbookViewId="0">
      <selection activeCell="C24" sqref="C24"/>
    </sheetView>
  </sheetViews>
  <sheetFormatPr defaultRowHeight="14"/>
  <cols>
    <col min="1" max="1" width="2.6328125" style="19" customWidth="1"/>
    <col min="2" max="2" width="8.7265625" style="19"/>
    <col min="3" max="3" width="30.6328125" style="19" customWidth="1"/>
    <col min="4" max="9" width="20.6328125" style="19" customWidth="1"/>
    <col min="10" max="16384" width="8.7265625" style="19"/>
  </cols>
  <sheetData>
    <row r="2" spans="2:9">
      <c r="B2" s="19" t="s">
        <v>0</v>
      </c>
      <c r="G2" s="53"/>
    </row>
    <row r="4" spans="2:9">
      <c r="B4" s="50" t="s">
        <v>135</v>
      </c>
      <c r="C4" s="51"/>
      <c r="D4" s="51"/>
      <c r="E4" s="51"/>
      <c r="F4" s="51"/>
      <c r="G4" s="51"/>
      <c r="H4" s="51"/>
      <c r="I4" s="52"/>
    </row>
    <row r="5" spans="2:9" ht="28">
      <c r="B5" s="20" t="s">
        <v>98</v>
      </c>
      <c r="C5" s="20" t="s">
        <v>99</v>
      </c>
      <c r="D5" s="14" t="s">
        <v>100</v>
      </c>
      <c r="E5" s="14" t="s">
        <v>101</v>
      </c>
      <c r="F5" s="14" t="s">
        <v>102</v>
      </c>
      <c r="G5" s="14" t="s">
        <v>103</v>
      </c>
      <c r="H5" s="14" t="s">
        <v>104</v>
      </c>
      <c r="I5" s="14" t="s">
        <v>105</v>
      </c>
    </row>
    <row r="6" spans="2:9">
      <c r="B6" s="50" t="s">
        <v>7</v>
      </c>
      <c r="C6" s="51"/>
      <c r="D6" s="51"/>
      <c r="E6" s="51"/>
      <c r="F6" s="51"/>
      <c r="G6" s="51"/>
      <c r="H6" s="51"/>
      <c r="I6" s="52"/>
    </row>
    <row r="7" spans="2:9" ht="140">
      <c r="B7" s="57">
        <v>1</v>
      </c>
      <c r="C7" s="57" t="s">
        <v>106</v>
      </c>
      <c r="D7" s="58" t="s">
        <v>118</v>
      </c>
      <c r="E7" s="59">
        <f>Accounts!D21</f>
        <v>6962491.6960987523</v>
      </c>
      <c r="F7" s="59">
        <v>0</v>
      </c>
      <c r="G7" s="59">
        <v>0</v>
      </c>
      <c r="H7" s="59">
        <v>0</v>
      </c>
      <c r="I7" s="59">
        <f>G7*6.2889/100</f>
        <v>0</v>
      </c>
    </row>
    <row r="8" spans="2:9" ht="56">
      <c r="B8" s="57">
        <v>2</v>
      </c>
      <c r="C8" s="57" t="s">
        <v>107</v>
      </c>
      <c r="D8" s="58" t="s">
        <v>117</v>
      </c>
      <c r="E8" s="59">
        <f>Accounts!D46</f>
        <v>2568390.4266909016</v>
      </c>
      <c r="F8" s="59">
        <v>0</v>
      </c>
      <c r="G8" s="59">
        <f>(3203046.89+280135.33)-2568390.43</f>
        <v>914791.79</v>
      </c>
      <c r="H8" s="58" t="s">
        <v>138</v>
      </c>
      <c r="I8" s="59">
        <f t="shared" ref="I8:I16" si="0">G8*6.2889/100</f>
        <v>57530.340881310003</v>
      </c>
    </row>
    <row r="9" spans="2:9">
      <c r="B9" s="57">
        <v>3</v>
      </c>
      <c r="C9" s="57" t="s">
        <v>108</v>
      </c>
      <c r="D9" s="59">
        <v>17410.61</v>
      </c>
      <c r="E9" s="59">
        <v>0</v>
      </c>
      <c r="F9" s="59">
        <v>0</v>
      </c>
      <c r="G9" s="59">
        <f>D9</f>
        <v>17410.61</v>
      </c>
      <c r="H9" s="59">
        <v>0</v>
      </c>
      <c r="I9" s="59">
        <f t="shared" si="0"/>
        <v>1094.93585229</v>
      </c>
    </row>
    <row r="10" spans="2:9" ht="56">
      <c r="B10" s="57">
        <v>4</v>
      </c>
      <c r="C10" s="57" t="s">
        <v>109</v>
      </c>
      <c r="D10" s="58" t="s">
        <v>116</v>
      </c>
      <c r="E10" s="59">
        <f>Accounts!D72</f>
        <v>936918.32252856379</v>
      </c>
      <c r="F10" s="59">
        <v>0</v>
      </c>
      <c r="G10" s="59">
        <f>(1261052.55+125330.02)-936918.32</f>
        <v>449464.25000000012</v>
      </c>
      <c r="H10" s="58" t="s">
        <v>137</v>
      </c>
      <c r="I10" s="59">
        <f t="shared" si="0"/>
        <v>28266.357218250007</v>
      </c>
    </row>
    <row r="11" spans="2:9" ht="28">
      <c r="B11" s="57">
        <v>5</v>
      </c>
      <c r="C11" s="57" t="s">
        <v>110</v>
      </c>
      <c r="D11" s="59">
        <v>137186.64000000001</v>
      </c>
      <c r="E11" s="59">
        <v>0</v>
      </c>
      <c r="F11" s="59">
        <f>D11</f>
        <v>137186.64000000001</v>
      </c>
      <c r="G11" s="59">
        <v>0</v>
      </c>
      <c r="H11" s="58" t="s">
        <v>136</v>
      </c>
      <c r="I11" s="59">
        <f t="shared" si="0"/>
        <v>0</v>
      </c>
    </row>
    <row r="12" spans="2:9">
      <c r="B12" s="57">
        <v>6</v>
      </c>
      <c r="C12" s="57" t="s">
        <v>111</v>
      </c>
      <c r="D12" s="59">
        <v>3668.29</v>
      </c>
      <c r="E12" s="59">
        <v>0</v>
      </c>
      <c r="F12" s="59">
        <v>0</v>
      </c>
      <c r="G12" s="59">
        <f>D12</f>
        <v>3668.29</v>
      </c>
      <c r="H12" s="59">
        <v>0</v>
      </c>
      <c r="I12" s="59">
        <f t="shared" si="0"/>
        <v>230.69508980999998</v>
      </c>
    </row>
    <row r="13" spans="2:9" ht="56">
      <c r="B13" s="57">
        <v>7</v>
      </c>
      <c r="C13" s="57" t="s">
        <v>112</v>
      </c>
      <c r="D13" s="59">
        <v>54000</v>
      </c>
      <c r="E13" s="58">
        <v>0</v>
      </c>
      <c r="F13" s="58" t="s">
        <v>139</v>
      </c>
      <c r="G13" s="59">
        <f>D13-SUM(12000+4000)</f>
        <v>38000</v>
      </c>
      <c r="H13" s="59">
        <f>Accounts!D108</f>
        <v>16000</v>
      </c>
      <c r="I13" s="59">
        <f t="shared" si="0"/>
        <v>2389.7820000000002</v>
      </c>
    </row>
    <row r="14" spans="2:9">
      <c r="B14" s="57">
        <v>8</v>
      </c>
      <c r="C14" s="57" t="s">
        <v>113</v>
      </c>
      <c r="D14" s="59">
        <v>100000</v>
      </c>
      <c r="E14" s="59">
        <v>0</v>
      </c>
      <c r="F14" s="59">
        <v>0</v>
      </c>
      <c r="G14" s="59">
        <f>D14</f>
        <v>100000</v>
      </c>
      <c r="H14" s="59">
        <v>0</v>
      </c>
      <c r="I14" s="59">
        <f t="shared" si="0"/>
        <v>6288.9</v>
      </c>
    </row>
    <row r="15" spans="2:9">
      <c r="B15" s="57">
        <v>9</v>
      </c>
      <c r="C15" s="57" t="s">
        <v>114</v>
      </c>
      <c r="D15" s="59">
        <v>72000</v>
      </c>
      <c r="E15" s="59">
        <v>0</v>
      </c>
      <c r="F15" s="59">
        <v>0</v>
      </c>
      <c r="G15" s="59">
        <f>D15</f>
        <v>72000</v>
      </c>
      <c r="H15" s="59">
        <v>0</v>
      </c>
      <c r="I15" s="59">
        <f t="shared" si="0"/>
        <v>4528.0079999999998</v>
      </c>
    </row>
    <row r="16" spans="2:9" ht="28">
      <c r="B16" s="57">
        <v>10</v>
      </c>
      <c r="C16" s="57" t="s">
        <v>115</v>
      </c>
      <c r="D16" s="59">
        <v>12000</v>
      </c>
      <c r="E16" s="59">
        <v>0</v>
      </c>
      <c r="F16" s="58" t="s">
        <v>140</v>
      </c>
      <c r="G16" s="59">
        <v>0</v>
      </c>
      <c r="H16" s="59">
        <f>Accounts!D113</f>
        <v>12000</v>
      </c>
      <c r="I16" s="59">
        <f t="shared" si="0"/>
        <v>0</v>
      </c>
    </row>
    <row r="17" spans="2:9">
      <c r="B17" s="54"/>
      <c r="C17" s="54"/>
      <c r="D17" s="55"/>
      <c r="E17" s="55"/>
      <c r="F17" s="55"/>
      <c r="G17" s="55"/>
      <c r="H17" s="55"/>
      <c r="I17" s="55"/>
    </row>
    <row r="18" spans="2:9" ht="14.5" thickBot="1">
      <c r="C18" s="60" t="s">
        <v>142</v>
      </c>
      <c r="D18" s="61"/>
      <c r="E18" s="61"/>
      <c r="F18" s="61"/>
      <c r="G18" s="62">
        <f>SUM(G7:G16)</f>
        <v>1595334.9400000002</v>
      </c>
      <c r="H18" s="61"/>
      <c r="I18" s="62">
        <f>SUM(I7:I16)</f>
        <v>100329.01904166001</v>
      </c>
    </row>
    <row r="19" spans="2:9" ht="14.5" thickTop="1"/>
    <row r="20" spans="2:9">
      <c r="B20" s="19" t="s">
        <v>143</v>
      </c>
    </row>
  </sheetData>
  <mergeCells count="2">
    <mergeCell ref="B6:I6"/>
    <mergeCell ref="B4:I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TemplafyTemplateConfiguration><![CDATA[{"transformationConfigurations":[],"templateName":"blankspreadsheet","templateDescription":"","enableDocumentContentUpdater":false,"version":"2.0"}]]></TemplafyTemplateConfiguration>
</file>

<file path=customXml/item2.xml><?xml version="1.0" encoding="utf-8"?>
<TemplafyFormConfiguration><![CDATA[{"formFields":[],"formDataEntries":[]}]]></TemplafyFormConfiguration>
</file>

<file path=customXml/itemProps1.xml><?xml version="1.0" encoding="utf-8"?>
<ds:datastoreItem xmlns:ds="http://schemas.openxmlformats.org/officeDocument/2006/customXml" ds:itemID="{57FAE20F-AE9B-4DCB-BD5B-1436E64B1F8D}">
  <ds:schemaRefs/>
</ds:datastoreItem>
</file>

<file path=customXml/itemProps2.xml><?xml version="1.0" encoding="utf-8"?>
<ds:datastoreItem xmlns:ds="http://schemas.openxmlformats.org/officeDocument/2006/customXml" ds:itemID="{0C82849E-1C4A-4262-92E2-19BEB3A630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Bank reconciliation</vt:lpstr>
      <vt:lpstr>Schedules</vt:lpstr>
      <vt:lpstr>Accounts</vt:lpstr>
      <vt:lpstr>Distribution account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Kulani Rivombo</dc:creator>
  <cp:lastModifiedBy>Kulani Rivombo</cp:lastModifiedBy>
  <dcterms:created xsi:type="dcterms:W3CDTF">2023-10-16T09:59:42Z</dcterms:created>
  <dcterms:modified xsi:type="dcterms:W3CDTF">2023-11-29T10:47:47Z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fyTenantId">
    <vt:lpwstr>deloitteza</vt:lpwstr>
  </property>
  <property fmtid="{D5CDD505-2E9C-101B-9397-08002B2CF9AE}" pid="3" name="TemplafyTemplateId">
    <vt:lpwstr>638049558579178173</vt:lpwstr>
  </property>
  <property fmtid="{D5CDD505-2E9C-101B-9397-08002B2CF9AE}" pid="4" name="TemplafyUserProfileId">
    <vt:lpwstr>638126387109959134</vt:lpwstr>
  </property>
  <property fmtid="{D5CDD505-2E9C-101B-9397-08002B2CF9AE}" pid="5" name="TemplafyLanguageCode">
    <vt:lpwstr>en-GB</vt:lpwstr>
  </property>
  <property fmtid="{D5CDD505-2E9C-101B-9397-08002B2CF9AE}" pid="6" name="TemplafyFromBlank">
    <vt:bool>true</vt:bool>
  </property>
  <property fmtid="{D5CDD505-2E9C-101B-9397-08002B2CF9AE}" pid="7" name="MSIP_Label_ea60d57e-af5b-4752-ac57-3e4f28ca11dc_Enabled">
    <vt:lpwstr>true</vt:lpwstr>
  </property>
  <property fmtid="{D5CDD505-2E9C-101B-9397-08002B2CF9AE}" pid="8" name="MSIP_Label_ea60d57e-af5b-4752-ac57-3e4f28ca11dc_SetDate">
    <vt:lpwstr>2023-11-28T13:06:56Z</vt:lpwstr>
  </property>
  <property fmtid="{D5CDD505-2E9C-101B-9397-08002B2CF9AE}" pid="9" name="MSIP_Label_ea60d57e-af5b-4752-ac57-3e4f28ca11dc_Method">
    <vt:lpwstr>Standard</vt:lpwstr>
  </property>
  <property fmtid="{D5CDD505-2E9C-101B-9397-08002B2CF9AE}" pid="10" name="MSIP_Label_ea60d57e-af5b-4752-ac57-3e4f28ca11dc_Name">
    <vt:lpwstr>ea60d57e-af5b-4752-ac57-3e4f28ca11dc</vt:lpwstr>
  </property>
  <property fmtid="{D5CDD505-2E9C-101B-9397-08002B2CF9AE}" pid="11" name="MSIP_Label_ea60d57e-af5b-4752-ac57-3e4f28ca11dc_SiteId">
    <vt:lpwstr>36da45f1-dd2c-4d1f-af13-5abe46b99921</vt:lpwstr>
  </property>
  <property fmtid="{D5CDD505-2E9C-101B-9397-08002B2CF9AE}" pid="12" name="MSIP_Label_ea60d57e-af5b-4752-ac57-3e4f28ca11dc_ActionId">
    <vt:lpwstr>129f54bf-ad8c-4541-abfa-fa4fef96e67d</vt:lpwstr>
  </property>
  <property fmtid="{D5CDD505-2E9C-101B-9397-08002B2CF9AE}" pid="13" name="MSIP_Label_ea60d57e-af5b-4752-ac57-3e4f28ca11dc_ContentBits">
    <vt:lpwstr>0</vt:lpwstr>
  </property>
</Properties>
</file>