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NSOL INTERNATIONAL\EXAM\"/>
    </mc:Choice>
  </mc:AlternateContent>
  <bookViews>
    <workbookView xWindow="0" yWindow="0" windowWidth="20490" windowHeight="7755"/>
  </bookViews>
  <sheets>
    <sheet name="F Page" sheetId="3" r:id="rId1"/>
    <sheet name="Likw" sheetId="1" r:id="rId2"/>
    <sheet name="Distr" sheetId="2" r:id="rId3"/>
    <sheet name="VAT" sheetId="6" r:id="rId4"/>
  </sheets>
  <definedNames>
    <definedName name="_xlnm.Print_Area" localSheetId="2">Distr!$A$1:$J$56</definedName>
    <definedName name="_xlnm.Print_Area" localSheetId="3">VAT!$B$2:$L$55</definedName>
    <definedName name="_xlnm.Print_Titles" localSheetId="2">Distr!$2:$3</definedName>
    <definedName name="_xlnm.Print_Titles" localSheetId="1">Likw!$1:$2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J12" i="2"/>
  <c r="I12" i="2"/>
  <c r="H12" i="2"/>
  <c r="D18" i="2"/>
  <c r="D86" i="1"/>
  <c r="H37" i="6" l="1"/>
  <c r="D85" i="1"/>
  <c r="F255" i="1"/>
  <c r="I143" i="1" l="1"/>
  <c r="F141" i="1"/>
  <c r="I141" i="1"/>
  <c r="D84" i="1"/>
  <c r="E37" i="2" l="1"/>
  <c r="E41" i="2"/>
  <c r="E45" i="2"/>
  <c r="E34" i="2"/>
  <c r="I31" i="2"/>
  <c r="J31" i="2" s="1"/>
  <c r="G49" i="2"/>
  <c r="I49" i="2" s="1"/>
  <c r="D27" i="2"/>
  <c r="E24" i="2"/>
  <c r="I54" i="1"/>
  <c r="D68" i="1"/>
  <c r="D65" i="1"/>
  <c r="D12" i="2"/>
  <c r="I4" i="2"/>
  <c r="F149" i="1"/>
  <c r="E149" i="1" s="1"/>
  <c r="F146" i="1"/>
  <c r="C156" i="1" s="1"/>
  <c r="D156" i="1" s="1"/>
  <c r="I148" i="1"/>
  <c r="I145" i="1"/>
  <c r="E72" i="1"/>
  <c r="G167" i="1"/>
  <c r="G14" i="6"/>
  <c r="I20" i="1"/>
  <c r="G75" i="1"/>
  <c r="D75" i="1"/>
  <c r="F51" i="1"/>
  <c r="F97" i="1"/>
  <c r="E97" i="1" s="1"/>
  <c r="D121" i="1" s="1"/>
  <c r="D110" i="1"/>
  <c r="F54" i="2"/>
  <c r="D171" i="1" l="1"/>
  <c r="D154" i="1"/>
  <c r="E146" i="1"/>
  <c r="D214" i="1"/>
  <c r="C60" i="1"/>
  <c r="D60" i="1" s="1"/>
  <c r="I52" i="1"/>
  <c r="I51" i="1"/>
  <c r="D54" i="2"/>
  <c r="H14" i="6"/>
  <c r="D58" i="1"/>
  <c r="D59" i="1" s="1"/>
  <c r="F88" i="1"/>
  <c r="E51" i="1"/>
  <c r="D77" i="1" s="1"/>
  <c r="D103" i="1"/>
  <c r="D104" i="1" s="1"/>
  <c r="C105" i="1"/>
  <c r="D105" i="1" s="1"/>
  <c r="D212" i="1" l="1"/>
  <c r="D61" i="1"/>
  <c r="G61" i="1" s="1"/>
  <c r="G62" i="1" s="1"/>
  <c r="D106" i="1"/>
  <c r="G106" i="1" s="1"/>
  <c r="G107" i="1" s="1"/>
  <c r="B3" i="2"/>
  <c r="H3" i="2"/>
  <c r="C4" i="2"/>
  <c r="F246" i="1"/>
  <c r="D62" i="1" l="1"/>
  <c r="E62" i="1"/>
  <c r="D78" i="1" s="1"/>
  <c r="D107" i="1"/>
  <c r="E107" i="1"/>
  <c r="D122" i="1" s="1"/>
  <c r="I157" i="1"/>
  <c r="G261" i="1" s="1"/>
  <c r="G15" i="6"/>
  <c r="C15" i="6"/>
  <c r="F11" i="1" l="1"/>
  <c r="C19" i="1" s="1"/>
  <c r="D26" i="1"/>
  <c r="D28" i="1" s="1"/>
  <c r="D113" i="1" s="1"/>
  <c r="A26" i="1"/>
  <c r="D17" i="1" l="1"/>
  <c r="D18" i="1" s="1"/>
  <c r="I11" i="1"/>
  <c r="H15" i="6"/>
  <c r="E11" i="1"/>
  <c r="D32" i="1" s="1"/>
  <c r="D155" i="1"/>
  <c r="B221" i="1"/>
  <c r="G183" i="1"/>
  <c r="J87" i="1"/>
  <c r="D160" i="1" s="1"/>
  <c r="J19" i="6" l="1"/>
  <c r="D157" i="1"/>
  <c r="D158" i="1" s="1"/>
  <c r="D19" i="1"/>
  <c r="G157" i="1" l="1"/>
  <c r="E158" i="1"/>
  <c r="G158" i="1" s="1"/>
  <c r="D20" i="1"/>
  <c r="G20" i="1" s="1"/>
  <c r="D259" i="1" l="1"/>
  <c r="G21" i="1"/>
  <c r="D260" i="1" s="1"/>
  <c r="D23" i="1"/>
  <c r="D21" i="1" l="1"/>
  <c r="E21" i="1"/>
  <c r="A1" i="1"/>
  <c r="D2" i="1"/>
  <c r="G180" i="1" l="1"/>
  <c r="D163" i="1"/>
  <c r="D265" i="1"/>
  <c r="D266" i="1" l="1"/>
  <c r="D267" i="1" s="1"/>
  <c r="D264" i="1" l="1"/>
  <c r="G264" i="1" s="1"/>
  <c r="E3" i="6" l="1"/>
  <c r="C2" i="6"/>
  <c r="H16" i="6" l="1"/>
  <c r="G13" i="6"/>
  <c r="G19" i="6" s="1"/>
  <c r="C13" i="6"/>
  <c r="H13" i="6" l="1"/>
  <c r="H19" i="6" s="1"/>
  <c r="G22" i="6" l="1"/>
  <c r="H41" i="6" l="1"/>
  <c r="I245" i="1"/>
  <c r="G47" i="6"/>
  <c r="G46" i="6"/>
  <c r="H47" i="6" l="1"/>
  <c r="H42" i="6" l="1"/>
  <c r="H43" i="6" s="1"/>
  <c r="I246" i="1"/>
  <c r="I247" i="1" s="1"/>
  <c r="J37" i="6" l="1"/>
  <c r="L37" i="6" s="1"/>
  <c r="F42" i="1" l="1"/>
  <c r="F130" i="1"/>
  <c r="I124" i="1" l="1"/>
  <c r="G260" i="1" l="1"/>
  <c r="I284" i="1" l="1"/>
  <c r="F202" i="1"/>
  <c r="D215" i="1" l="1"/>
  <c r="F214" i="1" s="1"/>
  <c r="G160" i="1" s="1"/>
  <c r="G214" i="1" l="1"/>
  <c r="G163" i="1" s="1"/>
  <c r="D172" i="1" s="1"/>
  <c r="D173" i="1" s="1"/>
  <c r="G173" i="1" s="1"/>
  <c r="G213" i="1"/>
  <c r="G212" i="1"/>
  <c r="F211" i="1"/>
  <c r="G23" i="1" s="1"/>
  <c r="F213" i="1"/>
  <c r="G110" i="1" s="1"/>
  <c r="F212" i="1"/>
  <c r="G65" i="1" s="1"/>
  <c r="J22" i="6"/>
  <c r="J85" i="1"/>
  <c r="J86" i="1" s="1"/>
  <c r="G211" i="1"/>
  <c r="G28" i="1" s="1"/>
  <c r="D33" i="1" s="1"/>
  <c r="J69" i="1" s="1"/>
  <c r="I154" i="1"/>
  <c r="I156" i="1" s="1"/>
  <c r="G202" i="1" l="1"/>
  <c r="G185" i="1"/>
  <c r="I128" i="1" s="1"/>
  <c r="G113" i="1"/>
  <c r="D123" i="1" s="1"/>
  <c r="G123" i="1" s="1"/>
  <c r="G68" i="1"/>
  <c r="D79" i="1" s="1"/>
  <c r="G79" i="1" s="1"/>
  <c r="D34" i="1"/>
  <c r="G34" i="1" s="1"/>
  <c r="I37" i="1" s="1"/>
  <c r="D39" i="1" s="1"/>
  <c r="I133" i="1"/>
  <c r="I45" i="1" l="1"/>
  <c r="D40" i="1"/>
  <c r="G12" i="2"/>
  <c r="I29" i="1"/>
  <c r="G39" i="1" s="1"/>
  <c r="G283" i="1" s="1"/>
  <c r="I80" i="1"/>
  <c r="D127" i="1" s="1"/>
  <c r="G80" i="1"/>
  <c r="G88" i="1" l="1"/>
  <c r="K79" i="1" s="1"/>
  <c r="K81" i="1"/>
  <c r="G42" i="1"/>
  <c r="D283" i="1"/>
  <c r="J43" i="6"/>
  <c r="L43" i="6" s="1"/>
  <c r="E12" i="2"/>
  <c r="G27" i="2"/>
  <c r="E27" i="2" s="1"/>
  <c r="G127" i="1"/>
  <c r="D128" i="1"/>
  <c r="G60" i="2"/>
  <c r="G130" i="1" l="1"/>
  <c r="D285" i="1"/>
  <c r="G285" i="1" s="1"/>
  <c r="G246" i="1"/>
  <c r="I211" i="1" s="1"/>
  <c r="I209" i="1" s="1"/>
  <c r="I240" i="1" l="1"/>
  <c r="F293" i="1" l="1"/>
  <c r="I88" i="1"/>
  <c r="D284" i="1"/>
  <c r="G284" i="1" s="1"/>
  <c r="G293" i="1" s="1"/>
  <c r="I261" i="1" l="1"/>
  <c r="G18" i="2"/>
  <c r="G54" i="2" s="1"/>
  <c r="E18" i="2" l="1"/>
  <c r="E54" i="2" s="1"/>
  <c r="H27" i="2" l="1"/>
  <c r="I27" i="2" s="1"/>
  <c r="J27" i="2" s="1"/>
  <c r="H24" i="2"/>
  <c r="I24" i="2" s="1"/>
  <c r="J24" i="2" s="1"/>
  <c r="H45" i="2"/>
  <c r="I45" i="2" s="1"/>
  <c r="J45" i="2" s="1"/>
  <c r="F60" i="2"/>
  <c r="H34" i="2"/>
  <c r="I34" i="2" s="1"/>
  <c r="J34" i="2" s="1"/>
  <c r="H37" i="2"/>
  <c r="I37" i="2" s="1"/>
  <c r="J37" i="2" s="1"/>
  <c r="H41" i="2"/>
  <c r="I41" i="2" s="1"/>
  <c r="J41" i="2" s="1"/>
  <c r="H60" i="2" l="1"/>
  <c r="H54" i="2"/>
  <c r="I60" i="2" s="1"/>
  <c r="I54" i="2" l="1"/>
  <c r="J60" i="2" s="1"/>
  <c r="J54" i="2"/>
</calcChain>
</file>

<file path=xl/sharedStrings.xml><?xml version="1.0" encoding="utf-8"?>
<sst xmlns="http://schemas.openxmlformats.org/spreadsheetml/2006/main" count="301" uniqueCount="190">
  <si>
    <t>LIQUIDATION ACCOUNT</t>
  </si>
  <si>
    <t xml:space="preserve"> </t>
  </si>
  <si>
    <t>ENCUMBERED ASSET ACCOUNT No 1</t>
  </si>
  <si>
    <t>Voucher</t>
  </si>
  <si>
    <t>DATE</t>
  </si>
  <si>
    <t>ASSETS / LIABILITIES</t>
  </si>
  <si>
    <t>VAT</t>
  </si>
  <si>
    <t>LIABILITIES</t>
  </si>
  <si>
    <t>REMUNERATION</t>
  </si>
  <si>
    <t>VAT on fee</t>
  </si>
  <si>
    <t>MASTER'S FEE</t>
  </si>
  <si>
    <t>pro-rata</t>
  </si>
  <si>
    <t>SARS</t>
  </si>
  <si>
    <t>Output</t>
  </si>
  <si>
    <t>Input</t>
  </si>
  <si>
    <t>DIVIDEND AVAILABLE</t>
  </si>
  <si>
    <t>Dividend</t>
  </si>
  <si>
    <t>FREE RESIDUE ACCOUNT</t>
  </si>
  <si>
    <t>COURT BOND</t>
  </si>
  <si>
    <t>ADVERTISING</t>
  </si>
  <si>
    <t>2nd Meeting</t>
  </si>
  <si>
    <t>Government Gazette</t>
  </si>
  <si>
    <t>Inspection</t>
  </si>
  <si>
    <t>Confirmation</t>
  </si>
  <si>
    <t>POSTAGES &amp; PETTIES</t>
  </si>
  <si>
    <t>Petties</t>
  </si>
  <si>
    <t>PRO-RATA CALCULATIONS</t>
  </si>
  <si>
    <t>MASTERS FEE &amp; COURT BOND</t>
  </si>
  <si>
    <t>MASTERS FEE</t>
  </si>
  <si>
    <t>ENCUMBERED ASSET 1</t>
  </si>
  <si>
    <t>RECONCILIATION STATEMENT</t>
  </si>
  <si>
    <t>AMOUNTS RECEIVED</t>
  </si>
  <si>
    <t>Balance</t>
  </si>
  <si>
    <t>AMOUNTS PAID</t>
  </si>
  <si>
    <t>Court Bond</t>
  </si>
  <si>
    <t>AMOUNTS TO BE COLLECTED</t>
  </si>
  <si>
    <t>AMOUNTS TO BE PAID</t>
  </si>
  <si>
    <t>Remuneration</t>
  </si>
  <si>
    <t xml:space="preserve">VAT </t>
  </si>
  <si>
    <t>Master's fee</t>
  </si>
  <si>
    <t>DIVIDEND</t>
  </si>
  <si>
    <t>DATE OF LIQUIDATION:</t>
  </si>
  <si>
    <t>DISTRIBUTION  ACCOUNT</t>
  </si>
  <si>
    <t>MASTER'S REF:</t>
  </si>
  <si>
    <t>DATE OF LIQUIDATION</t>
  </si>
  <si>
    <t>NR</t>
  </si>
  <si>
    <t xml:space="preserve">NAME &amp; ADDRESS OF </t>
  </si>
  <si>
    <t>NATURE OF</t>
  </si>
  <si>
    <t>SECURED /</t>
  </si>
  <si>
    <t>CONCURRENT</t>
  </si>
  <si>
    <t>TOTAL CLAIM</t>
  </si>
  <si>
    <t xml:space="preserve">CONCURRENT </t>
  </si>
  <si>
    <t>TOTAL</t>
  </si>
  <si>
    <t>SHORTFALL</t>
  </si>
  <si>
    <t>CREDITOR</t>
  </si>
  <si>
    <t>CLAIM</t>
  </si>
  <si>
    <t>PREFERENT CLAIMS</t>
  </si>
  <si>
    <t>PREF DIV</t>
  </si>
  <si>
    <t>DIV</t>
  </si>
  <si>
    <t>ASSET</t>
  </si>
  <si>
    <t>VAT CALCULATION</t>
  </si>
  <si>
    <t>IT REF:</t>
  </si>
  <si>
    <t>VAT REF:</t>
  </si>
  <si>
    <t>PURCHASE PRICE</t>
  </si>
  <si>
    <t>OUTPUT</t>
  </si>
  <si>
    <t xml:space="preserve">   </t>
  </si>
  <si>
    <t>EA 1</t>
  </si>
  <si>
    <t>TOTAL VAT COLLECTED</t>
  </si>
  <si>
    <t>Total assets</t>
  </si>
  <si>
    <t>INPUT</t>
  </si>
  <si>
    <t>TOTAL INPUT</t>
  </si>
  <si>
    <t>Period</t>
  </si>
  <si>
    <t>voucher:</t>
  </si>
  <si>
    <t>EA 2</t>
  </si>
  <si>
    <t>Post &amp; Petties</t>
  </si>
  <si>
    <t>Advertisements</t>
  </si>
  <si>
    <t>BUSINESS ASSETS</t>
  </si>
  <si>
    <t>TOTAL ASSETS</t>
  </si>
  <si>
    <t>SUMMARY</t>
  </si>
  <si>
    <t>TOTAL OUTPUT</t>
  </si>
  <si>
    <t xml:space="preserve">ASSETS </t>
  </si>
  <si>
    <t>CREDIT</t>
  </si>
  <si>
    <t>DEBIT</t>
  </si>
  <si>
    <t>THE FIRST  LIQUIDATION &amp; DISTRIBUTION  ACCOUNT</t>
  </si>
  <si>
    <t xml:space="preserve">COURT BOND PREMIUMS </t>
  </si>
  <si>
    <t>Shortfall</t>
  </si>
  <si>
    <t>Delivered</t>
  </si>
  <si>
    <t>Movable Assets</t>
  </si>
  <si>
    <t>Less 10% x 15%</t>
  </si>
  <si>
    <t>VAT on Fee</t>
  </si>
  <si>
    <t>2022</t>
  </si>
  <si>
    <t xml:space="preserve">Period </t>
  </si>
  <si>
    <t>Provision</t>
  </si>
  <si>
    <t>ENCUMBERED ASSET ACCOUNT No 2</t>
  </si>
  <si>
    <t>Commission</t>
  </si>
  <si>
    <t>ENCUMBERED ASSET 2</t>
  </si>
  <si>
    <t>FREE RESIDUE</t>
  </si>
  <si>
    <t>IT</t>
  </si>
  <si>
    <t>FR</t>
  </si>
  <si>
    <t>Free Residue Movable Assets</t>
  </si>
  <si>
    <t>To be paid</t>
  </si>
  <si>
    <t xml:space="preserve">VALLEYGROVE FARMS (PTY) LTD (IN LIQUIDATION) </t>
  </si>
  <si>
    <t>18/09/2022</t>
  </si>
  <si>
    <t xml:space="preserve">Hasting Auctions </t>
  </si>
  <si>
    <t>Immovable Asset</t>
  </si>
  <si>
    <t>Grape Harvested</t>
  </si>
  <si>
    <t xml:space="preserve">Sithole &amp; Parners </t>
  </si>
  <si>
    <t>Debts Collected</t>
  </si>
  <si>
    <t xml:space="preserve">Stella Valley Cbernet </t>
  </si>
  <si>
    <t xml:space="preserve">Harvested </t>
  </si>
  <si>
    <t>*</t>
  </si>
  <si>
    <t xml:space="preserve">Taxed Bill of Cost </t>
  </si>
  <si>
    <t xml:space="preserve">Horizon Attorneys </t>
  </si>
  <si>
    <t xml:space="preserve">Bilingual &amp; Government Gazette  </t>
  </si>
  <si>
    <t xml:space="preserve">Discharge of the Master </t>
  </si>
  <si>
    <t>Capital Bank LTD</t>
  </si>
  <si>
    <t xml:space="preserve">Monies lent and </t>
  </si>
  <si>
    <t xml:space="preserve">Advance </t>
  </si>
  <si>
    <t>Harvest Finance LTD</t>
  </si>
  <si>
    <t xml:space="preserve">Monies Lent and </t>
  </si>
  <si>
    <t>Advance and by</t>
  </si>
  <si>
    <t xml:space="preserve">Working Capital </t>
  </si>
  <si>
    <t xml:space="preserve">Loan </t>
  </si>
  <si>
    <t xml:space="preserve">Vinetech Supplies Ltd </t>
  </si>
  <si>
    <t xml:space="preserve">Good Sold and </t>
  </si>
  <si>
    <t xml:space="preserve">AgriTech Finance </t>
  </si>
  <si>
    <t xml:space="preserve">Moneys lent in </t>
  </si>
  <si>
    <t xml:space="preserve">SARS </t>
  </si>
  <si>
    <t xml:space="preserve">VAT &amp; IT </t>
  </si>
  <si>
    <t xml:space="preserve">Winecraft Essentials </t>
  </si>
  <si>
    <t xml:space="preserve">Equiptment </t>
  </si>
  <si>
    <t>Thabo Moeng</t>
  </si>
  <si>
    <t xml:space="preserve">David Smith </t>
  </si>
  <si>
    <t xml:space="preserve">Advertisment </t>
  </si>
  <si>
    <t xml:space="preserve">Less paid </t>
  </si>
  <si>
    <t xml:space="preserve">Sithole &amp; Partners </t>
  </si>
  <si>
    <t xml:space="preserve">Collecting of debtors fee </t>
  </si>
  <si>
    <t xml:space="preserve">Comission on all assets </t>
  </si>
  <si>
    <t xml:space="preserve">Trust Bank Account </t>
  </si>
  <si>
    <t xml:space="preserve">Bank Charges </t>
  </si>
  <si>
    <t xml:space="preserve">Wages </t>
  </si>
  <si>
    <t xml:space="preserve">Labourers harvesting grapes </t>
  </si>
  <si>
    <t>ENCUMBERED ASSET 3</t>
  </si>
  <si>
    <t xml:space="preserve">Proceeds of Debts Collected </t>
  </si>
  <si>
    <t xml:space="preserve">Movable Assets Bottling Plant </t>
  </si>
  <si>
    <t>Harvest Finance Ltd</t>
  </si>
  <si>
    <t>Subject to an Special Notorial Bond in favor of</t>
  </si>
  <si>
    <t xml:space="preserve">Portion 8 of the Farm ValleyGrove </t>
  </si>
  <si>
    <t xml:space="preserve">Capital Bank </t>
  </si>
  <si>
    <t>Subject to an Mortgage Bond in favor of</t>
  </si>
  <si>
    <t>ENCUMBERED ASSET ACCOUNT No 3</t>
  </si>
  <si>
    <t xml:space="preserve">2019 Self Propelled Grape Harvestor </t>
  </si>
  <si>
    <t>Capital Bank</t>
  </si>
  <si>
    <t>Claim 3.1</t>
  </si>
  <si>
    <t>Movable Assets Potting Plant</t>
  </si>
  <si>
    <t>2019 Self Propelled Grape Harvested Proceeds of Stella Valley Cabernet grapes</t>
  </si>
  <si>
    <t>Total Payments</t>
  </si>
  <si>
    <t xml:space="preserve">Preferent Creditors </t>
  </si>
  <si>
    <t>Maria Ndlovu</t>
  </si>
  <si>
    <t>Concurrent Creditors</t>
  </si>
  <si>
    <t>HARVEST FINANCE LTD</t>
  </si>
  <si>
    <t>Agri Tech Finance</t>
  </si>
  <si>
    <t>Substantial Inventory of bottled wines sold per auction</t>
  </si>
  <si>
    <t>Vat</t>
  </si>
  <si>
    <t>Michelanous movable assets and office equipment</t>
  </si>
  <si>
    <t>Auction Fee</t>
  </si>
  <si>
    <t>Concurent div</t>
  </si>
  <si>
    <t>(manager</t>
  </si>
  <si>
    <t>Salary &amp; Leave</t>
  </si>
  <si>
    <t>Arear salary</t>
  </si>
  <si>
    <t>and leave</t>
  </si>
  <si>
    <t>Managing director</t>
  </si>
  <si>
    <t>director</t>
  </si>
  <si>
    <t>Sindiwe Mthembu</t>
  </si>
  <si>
    <t>employee</t>
  </si>
  <si>
    <t>Arrear salary</t>
  </si>
  <si>
    <t>David Smith</t>
  </si>
  <si>
    <t xml:space="preserve">INTEREST </t>
  </si>
  <si>
    <t>Periode</t>
  </si>
  <si>
    <t xml:space="preserve">VAT Payment </t>
  </si>
  <si>
    <t>Encumbered Asset 1</t>
  </si>
  <si>
    <t xml:space="preserve">Dividend </t>
  </si>
  <si>
    <t>Encumbered Asset 2</t>
  </si>
  <si>
    <t>Encumbered Asset 3</t>
  </si>
  <si>
    <t xml:space="preserve"> Concurrent Claims </t>
  </si>
  <si>
    <t>Free Residue</t>
  </si>
  <si>
    <t>EA 3</t>
  </si>
  <si>
    <t>Less 3% x 15%</t>
  </si>
  <si>
    <t xml:space="preserve">Auction Fee </t>
  </si>
  <si>
    <t>Vat on Liquidators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</si>
</sst>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&quot;* #,##0.00_-;\-&quot;R&quot;* #,##0.00_-;_-&quot;R&quot;* &quot;-&quot;??_-;_-@_-"/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_ * #,##0.000_ ;_ * \-#,##0.000_ ;_ * &quot;-&quot;???_ ;_ @_ "/>
    <numFmt numFmtId="168" formatCode="0.0000"/>
    <numFmt numFmtId="169" formatCode="#,##0_ ;\-#,##0\ "/>
    <numFmt numFmtId="171" formatCode="&quot;R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1"/>
      <name val="Footlight MT Light"/>
      <family val="1"/>
    </font>
    <font>
      <sz val="9"/>
      <name val="Arial"/>
      <family val="2"/>
    </font>
    <font>
      <b/>
      <u/>
      <sz val="14"/>
      <name val="Georgia"/>
      <family val="1"/>
    </font>
    <font>
      <u/>
      <sz val="10"/>
      <name val="Footlight MT Light"/>
      <family val="1"/>
    </font>
    <font>
      <b/>
      <u/>
      <sz val="10"/>
      <name val="Centaur"/>
      <family val="1"/>
    </font>
    <font>
      <b/>
      <u/>
      <sz val="14"/>
      <name val="Courier New"/>
      <family val="3"/>
    </font>
    <font>
      <sz val="10"/>
      <name val="Comic Sans MS"/>
      <family val="4"/>
    </font>
    <font>
      <u/>
      <sz val="9"/>
      <name val="Arial"/>
      <family val="2"/>
    </font>
    <font>
      <b/>
      <u/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Arial"/>
      <family val="2"/>
    </font>
    <font>
      <b/>
      <u val="double"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Georgia"/>
      <family val="1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u val="double"/>
      <sz val="11"/>
      <color theme="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u/>
      <sz val="11"/>
      <color rgb="FFFF000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E1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/>
    <xf numFmtId="0" fontId="4" fillId="0" borderId="0" xfId="1" applyFont="1"/>
    <xf numFmtId="0" fontId="3" fillId="0" borderId="1" xfId="1" applyFont="1" applyBorder="1"/>
    <xf numFmtId="0" fontId="3" fillId="0" borderId="9" xfId="1" applyFont="1" applyBorder="1"/>
    <xf numFmtId="0" fontId="3" fillId="0" borderId="2" xfId="1" applyFont="1" applyBorder="1"/>
    <xf numFmtId="0" fontId="3" fillId="0" borderId="8" xfId="1" applyFont="1" applyBorder="1"/>
    <xf numFmtId="0" fontId="5" fillId="0" borderId="8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0" borderId="16" xfId="1" applyFont="1" applyBorder="1"/>
    <xf numFmtId="0" fontId="8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" fillId="0" borderId="9" xfId="1" applyBorder="1"/>
    <xf numFmtId="0" fontId="7" fillId="0" borderId="30" xfId="1" applyFont="1" applyBorder="1" applyAlignment="1">
      <alignment horizontal="left"/>
    </xf>
    <xf numFmtId="0" fontId="4" fillId="0" borderId="31" xfId="1" applyFont="1" applyBorder="1" applyAlignment="1">
      <alignment horizontal="left"/>
    </xf>
    <xf numFmtId="0" fontId="8" fillId="0" borderId="19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8" xfId="1" applyBorder="1"/>
    <xf numFmtId="0" fontId="1" fillId="0" borderId="1" xfId="1" applyBorder="1"/>
    <xf numFmtId="165" fontId="1" fillId="0" borderId="8" xfId="1" applyNumberFormat="1" applyBorder="1"/>
    <xf numFmtId="0" fontId="1" fillId="0" borderId="2" xfId="1" applyBorder="1"/>
    <xf numFmtId="0" fontId="1" fillId="0" borderId="10" xfId="1" applyBorder="1"/>
    <xf numFmtId="165" fontId="1" fillId="0" borderId="0" xfId="1" applyNumberFormat="1"/>
    <xf numFmtId="0" fontId="1" fillId="0" borderId="4" xfId="1" applyBorder="1"/>
    <xf numFmtId="165" fontId="1" fillId="0" borderId="22" xfId="1" applyNumberFormat="1" applyBorder="1"/>
    <xf numFmtId="165" fontId="1" fillId="0" borderId="9" xfId="1" applyNumberFormat="1" applyBorder="1"/>
    <xf numFmtId="0" fontId="3" fillId="0" borderId="10" xfId="1" applyFont="1" applyBorder="1"/>
    <xf numFmtId="0" fontId="12" fillId="0" borderId="10" xfId="1" applyFont="1" applyBorder="1"/>
    <xf numFmtId="1" fontId="1" fillId="0" borderId="8" xfId="1" applyNumberFormat="1" applyBorder="1" applyAlignment="1">
      <alignment horizontal="center"/>
    </xf>
    <xf numFmtId="165" fontId="1" fillId="0" borderId="14" xfId="1" applyNumberFormat="1" applyBorder="1"/>
    <xf numFmtId="164" fontId="1" fillId="0" borderId="8" xfId="1" applyNumberFormat="1" applyBorder="1"/>
    <xf numFmtId="44" fontId="1" fillId="0" borderId="0" xfId="1" applyNumberFormat="1"/>
    <xf numFmtId="1" fontId="1" fillId="0" borderId="9" xfId="1" applyNumberFormat="1" applyBorder="1" applyAlignment="1">
      <alignment horizontal="center"/>
    </xf>
    <xf numFmtId="0" fontId="1" fillId="0" borderId="12" xfId="1" applyBorder="1"/>
    <xf numFmtId="0" fontId="1" fillId="0" borderId="7" xfId="1" applyBorder="1"/>
    <xf numFmtId="165" fontId="6" fillId="0" borderId="14" xfId="1" applyNumberFormat="1" applyFont="1" applyBorder="1"/>
    <xf numFmtId="165" fontId="6" fillId="0" borderId="1" xfId="1" applyNumberFormat="1" applyFont="1" applyBorder="1"/>
    <xf numFmtId="44" fontId="0" fillId="0" borderId="0" xfId="0" applyNumberFormat="1"/>
    <xf numFmtId="44" fontId="6" fillId="0" borderId="0" xfId="1" applyNumberFormat="1" applyFont="1"/>
    <xf numFmtId="165" fontId="6" fillId="0" borderId="5" xfId="1" applyNumberFormat="1" applyFont="1" applyBorder="1"/>
    <xf numFmtId="1" fontId="1" fillId="0" borderId="5" xfId="1" applyNumberFormat="1" applyBorder="1" applyAlignment="1">
      <alignment horizontal="center"/>
    </xf>
    <xf numFmtId="167" fontId="1" fillId="0" borderId="16" xfId="2" applyNumberFormat="1" applyFont="1" applyFill="1" applyBorder="1"/>
    <xf numFmtId="0" fontId="15" fillId="0" borderId="0" xfId="1" applyFont="1"/>
    <xf numFmtId="0" fontId="16" fillId="0" borderId="0" xfId="1" applyFont="1" applyAlignment="1">
      <alignment horizontal="left"/>
    </xf>
    <xf numFmtId="0" fontId="16" fillId="0" borderId="0" xfId="1" applyFont="1"/>
    <xf numFmtId="0" fontId="17" fillId="3" borderId="0" xfId="0" applyFont="1" applyFill="1"/>
    <xf numFmtId="0" fontId="5" fillId="0" borderId="4" xfId="1" applyFont="1" applyBorder="1" applyAlignment="1">
      <alignment horizontal="center"/>
    </xf>
    <xf numFmtId="0" fontId="1" fillId="0" borderId="4" xfId="1" applyFont="1" applyBorder="1"/>
    <xf numFmtId="0" fontId="1" fillId="0" borderId="0" xfId="1" applyFont="1"/>
    <xf numFmtId="165" fontId="1" fillId="0" borderId="0" xfId="1" applyNumberFormat="1" applyFont="1"/>
    <xf numFmtId="0" fontId="20" fillId="0" borderId="4" xfId="1" applyFont="1" applyBorder="1"/>
    <xf numFmtId="0" fontId="0" fillId="0" borderId="48" xfId="0" applyBorder="1"/>
    <xf numFmtId="0" fontId="0" fillId="0" borderId="49" xfId="0" applyBorder="1"/>
    <xf numFmtId="0" fontId="0" fillId="0" borderId="0" xfId="0" applyBorder="1"/>
    <xf numFmtId="1" fontId="1" fillId="0" borderId="8" xfId="1" applyNumberFormat="1" applyFill="1" applyBorder="1" applyAlignment="1">
      <alignment horizontal="center"/>
    </xf>
    <xf numFmtId="165" fontId="1" fillId="0" borderId="8" xfId="1" applyNumberFormat="1" applyFill="1" applyBorder="1"/>
    <xf numFmtId="0" fontId="4" fillId="0" borderId="2" xfId="1" applyFont="1" applyBorder="1"/>
    <xf numFmtId="0" fontId="1" fillId="0" borderId="50" xfId="1" applyBorder="1"/>
    <xf numFmtId="0" fontId="9" fillId="0" borderId="51" xfId="1" applyFont="1" applyBorder="1"/>
    <xf numFmtId="0" fontId="1" fillId="0" borderId="51" xfId="1" applyBorder="1"/>
    <xf numFmtId="0" fontId="1" fillId="0" borderId="52" xfId="1" applyBorder="1"/>
    <xf numFmtId="0" fontId="1" fillId="0" borderId="53" xfId="1" applyBorder="1"/>
    <xf numFmtId="0" fontId="9" fillId="0" borderId="0" xfId="1" applyFont="1" applyBorder="1"/>
    <xf numFmtId="14" fontId="1" fillId="0" borderId="0" xfId="1" applyNumberFormat="1" applyBorder="1" applyAlignment="1">
      <alignment horizontal="center"/>
    </xf>
    <xf numFmtId="0" fontId="1" fillId="0" borderId="0" xfId="1" applyBorder="1"/>
    <xf numFmtId="0" fontId="1" fillId="0" borderId="54" xfId="1" applyBorder="1"/>
    <xf numFmtId="165" fontId="1" fillId="0" borderId="0" xfId="1" applyNumberFormat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10" fillId="0" borderId="0" xfId="1" applyFont="1" applyBorder="1"/>
    <xf numFmtId="1" fontId="11" fillId="0" borderId="0" xfId="1" applyNumberFormat="1" applyFont="1" applyBorder="1" applyAlignment="1">
      <alignment horizontal="left"/>
    </xf>
    <xf numFmtId="0" fontId="1" fillId="0" borderId="55" xfId="1" applyBorder="1"/>
    <xf numFmtId="0" fontId="3" fillId="0" borderId="56" xfId="1" applyFont="1" applyBorder="1" applyAlignment="1">
      <alignment horizontal="center"/>
    </xf>
    <xf numFmtId="0" fontId="1" fillId="0" borderId="57" xfId="1" applyBorder="1"/>
    <xf numFmtId="0" fontId="13" fillId="0" borderId="0" xfId="1" applyFont="1" applyBorder="1"/>
    <xf numFmtId="14" fontId="2" fillId="0" borderId="57" xfId="1" applyNumberFormat="1" applyFont="1" applyBorder="1"/>
    <xf numFmtId="0" fontId="20" fillId="0" borderId="0" xfId="1" applyFont="1" applyBorder="1"/>
    <xf numFmtId="165" fontId="1" fillId="0" borderId="54" xfId="1" applyNumberFormat="1" applyBorder="1"/>
    <xf numFmtId="14" fontId="1" fillId="0" borderId="57" xfId="1" applyNumberFormat="1" applyFont="1" applyBorder="1"/>
    <xf numFmtId="14" fontId="1" fillId="0" borderId="57" xfId="1" applyNumberFormat="1" applyBorder="1"/>
    <xf numFmtId="165" fontId="1" fillId="0" borderId="58" xfId="1" applyNumberFormat="1" applyBorder="1"/>
    <xf numFmtId="0" fontId="4" fillId="0" borderId="0" xfId="1" applyFont="1" applyFill="1" applyBorder="1"/>
    <xf numFmtId="0" fontId="1" fillId="0" borderId="0" xfId="1" applyFill="1" applyBorder="1"/>
    <xf numFmtId="165" fontId="1" fillId="0" borderId="59" xfId="1" applyNumberFormat="1" applyFill="1" applyBorder="1"/>
    <xf numFmtId="0" fontId="6" fillId="0" borderId="0" xfId="1" applyFont="1" applyBorder="1"/>
    <xf numFmtId="0" fontId="4" fillId="0" borderId="0" xfId="1" applyFont="1" applyBorder="1"/>
    <xf numFmtId="9" fontId="1" fillId="0" borderId="0" xfId="1" applyNumberFormat="1" applyBorder="1"/>
    <xf numFmtId="165" fontId="6" fillId="0" borderId="0" xfId="1" applyNumberFormat="1" applyFont="1" applyBorder="1"/>
    <xf numFmtId="0" fontId="0" fillId="0" borderId="60" xfId="0" applyBorder="1"/>
    <xf numFmtId="0" fontId="19" fillId="0" borderId="0" xfId="0" applyFont="1" applyBorder="1"/>
    <xf numFmtId="0" fontId="0" fillId="0" borderId="61" xfId="0" applyBorder="1"/>
    <xf numFmtId="0" fontId="21" fillId="0" borderId="0" xfId="0" applyFont="1" applyBorder="1"/>
    <xf numFmtId="171" fontId="0" fillId="0" borderId="61" xfId="0" applyNumberFormat="1" applyBorder="1"/>
    <xf numFmtId="0" fontId="18" fillId="0" borderId="0" xfId="1" applyFont="1" applyBorder="1"/>
    <xf numFmtId="9" fontId="6" fillId="0" borderId="0" xfId="1" applyNumberFormat="1" applyFont="1" applyBorder="1" applyAlignment="1">
      <alignment horizontal="center"/>
    </xf>
    <xf numFmtId="165" fontId="1" fillId="0" borderId="62" xfId="1" applyNumberFormat="1" applyBorder="1"/>
    <xf numFmtId="165" fontId="1" fillId="0" borderId="59" xfId="1" applyNumberFormat="1" applyBorder="1"/>
    <xf numFmtId="0" fontId="1" fillId="0" borderId="63" xfId="1" applyBorder="1"/>
    <xf numFmtId="0" fontId="3" fillId="0" borderId="0" xfId="1" applyFont="1" applyBorder="1"/>
    <xf numFmtId="165" fontId="1" fillId="0" borderId="56" xfId="1" applyNumberFormat="1" applyBorder="1"/>
    <xf numFmtId="165" fontId="1" fillId="0" borderId="64" xfId="1" applyNumberFormat="1" applyBorder="1"/>
    <xf numFmtId="0" fontId="1" fillId="0" borderId="58" xfId="1" applyBorder="1"/>
    <xf numFmtId="10" fontId="1" fillId="0" borderId="54" xfId="1" applyNumberForma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22" fillId="0" borderId="0" xfId="0" applyFont="1"/>
    <xf numFmtId="0" fontId="23" fillId="0" borderId="16" xfId="1" applyFont="1" applyBorder="1"/>
    <xf numFmtId="0" fontId="1" fillId="0" borderId="16" xfId="1" applyFont="1" applyBorder="1"/>
    <xf numFmtId="165" fontId="1" fillId="0" borderId="16" xfId="1" applyNumberFormat="1" applyFont="1" applyBorder="1"/>
    <xf numFmtId="0" fontId="1" fillId="0" borderId="16" xfId="1" applyFont="1" applyBorder="1" applyAlignment="1">
      <alignment horizontal="right"/>
    </xf>
    <xf numFmtId="168" fontId="1" fillId="0" borderId="26" xfId="1" applyNumberFormat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27" xfId="1" applyFont="1" applyBorder="1"/>
    <xf numFmtId="14" fontId="1" fillId="0" borderId="0" xfId="1" applyNumberFormat="1" applyFont="1" applyAlignment="1">
      <alignment horizontal="center"/>
    </xf>
    <xf numFmtId="166" fontId="1" fillId="0" borderId="0" xfId="2" applyFont="1" applyFill="1" applyBorder="1"/>
    <xf numFmtId="44" fontId="1" fillId="0" borderId="0" xfId="1" applyNumberFormat="1" applyFont="1"/>
    <xf numFmtId="0" fontId="1" fillId="0" borderId="32" xfId="1" applyFont="1" applyBorder="1" applyAlignment="1">
      <alignment horizontal="center"/>
    </xf>
    <xf numFmtId="0" fontId="24" fillId="0" borderId="23" xfId="1" applyFont="1" applyBorder="1" applyAlignment="1">
      <alignment horizontal="right"/>
    </xf>
    <xf numFmtId="0" fontId="22" fillId="0" borderId="23" xfId="0" applyFont="1" applyBorder="1"/>
    <xf numFmtId="15" fontId="1" fillId="0" borderId="23" xfId="1" applyNumberFormat="1" applyFont="1" applyBorder="1" applyAlignment="1">
      <alignment horizontal="left"/>
    </xf>
    <xf numFmtId="0" fontId="1" fillId="0" borderId="23" xfId="1" applyFont="1" applyBorder="1"/>
    <xf numFmtId="0" fontId="1" fillId="0" borderId="28" xfId="1" applyFont="1" applyBorder="1"/>
    <xf numFmtId="0" fontId="1" fillId="0" borderId="19" xfId="1" applyFont="1" applyBorder="1" applyAlignment="1">
      <alignment horizontal="center"/>
    </xf>
    <xf numFmtId="0" fontId="1" fillId="0" borderId="8" xfId="1" applyFont="1" applyBorder="1"/>
    <xf numFmtId="0" fontId="1" fillId="0" borderId="5" xfId="1" applyFont="1" applyBorder="1"/>
    <xf numFmtId="0" fontId="1" fillId="0" borderId="17" xfId="1" applyFont="1" applyBorder="1"/>
    <xf numFmtId="0" fontId="1" fillId="0" borderId="25" xfId="1" applyFont="1" applyBorder="1" applyAlignment="1">
      <alignment horizontal="center"/>
    </xf>
    <xf numFmtId="0" fontId="1" fillId="0" borderId="22" xfId="1" applyFont="1" applyBorder="1"/>
    <xf numFmtId="0" fontId="1" fillId="0" borderId="29" xfId="1" applyFont="1" applyBorder="1"/>
    <xf numFmtId="0" fontId="1" fillId="0" borderId="36" xfId="1" applyFont="1" applyBorder="1"/>
    <xf numFmtId="0" fontId="1" fillId="0" borderId="24" xfId="1" applyFont="1" applyBorder="1"/>
    <xf numFmtId="165" fontId="1" fillId="0" borderId="8" xfId="1" applyNumberFormat="1" applyFont="1" applyBorder="1"/>
    <xf numFmtId="0" fontId="1" fillId="0" borderId="20" xfId="1" applyFont="1" applyBorder="1" applyAlignment="1">
      <alignment horizontal="center"/>
    </xf>
    <xf numFmtId="0" fontId="1" fillId="0" borderId="7" xfId="1" applyFont="1" applyBorder="1"/>
    <xf numFmtId="0" fontId="1" fillId="0" borderId="9" xfId="1" applyFont="1" applyBorder="1"/>
    <xf numFmtId="0" fontId="1" fillId="0" borderId="4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4" fillId="0" borderId="7" xfId="1" applyFont="1" applyBorder="1"/>
    <xf numFmtId="0" fontId="1" fillId="0" borderId="31" xfId="1" applyFont="1" applyBorder="1" applyAlignment="1">
      <alignment horizontal="center"/>
    </xf>
    <xf numFmtId="0" fontId="1" fillId="0" borderId="10" xfId="1" applyFont="1" applyBorder="1"/>
    <xf numFmtId="44" fontId="22" fillId="0" borderId="0" xfId="0" applyNumberFormat="1" applyFont="1"/>
    <xf numFmtId="0" fontId="1" fillId="0" borderId="42" xfId="1" applyFont="1" applyBorder="1" applyAlignment="1">
      <alignment horizontal="center"/>
    </xf>
    <xf numFmtId="0" fontId="4" fillId="0" borderId="1" xfId="1" applyFont="1" applyBorder="1"/>
    <xf numFmtId="0" fontId="1" fillId="0" borderId="8" xfId="1" applyFont="1" applyBorder="1" applyAlignment="1">
      <alignment horizontal="left"/>
    </xf>
    <xf numFmtId="0" fontId="4" fillId="0" borderId="68" xfId="1" applyFont="1" applyBorder="1"/>
    <xf numFmtId="0" fontId="1" fillId="0" borderId="48" xfId="1" applyFont="1" applyBorder="1"/>
    <xf numFmtId="0" fontId="1" fillId="0" borderId="5" xfId="1" applyFont="1" applyBorder="1" applyAlignment="1">
      <alignment horizontal="left"/>
    </xf>
    <xf numFmtId="0" fontId="4" fillId="0" borderId="69" xfId="1" applyFont="1" applyBorder="1"/>
    <xf numFmtId="0" fontId="4" fillId="0" borderId="48" xfId="1" applyFont="1" applyBorder="1"/>
    <xf numFmtId="0" fontId="1" fillId="0" borderId="69" xfId="1" applyFont="1" applyBorder="1"/>
    <xf numFmtId="0" fontId="1" fillId="0" borderId="34" xfId="1" applyFont="1" applyBorder="1"/>
    <xf numFmtId="0" fontId="1" fillId="0" borderId="68" xfId="1" applyFont="1" applyBorder="1"/>
    <xf numFmtId="0" fontId="1" fillId="0" borderId="2" xfId="1" applyFont="1" applyBorder="1"/>
    <xf numFmtId="0" fontId="1" fillId="0" borderId="31" xfId="1" applyFont="1" applyBorder="1"/>
    <xf numFmtId="0" fontId="1" fillId="0" borderId="32" xfId="1" applyFont="1" applyBorder="1"/>
    <xf numFmtId="0" fontId="1" fillId="0" borderId="70" xfId="1" applyFont="1" applyBorder="1"/>
    <xf numFmtId="171" fontId="25" fillId="0" borderId="8" xfId="3" applyNumberFormat="1" applyFont="1" applyBorder="1" applyAlignment="1">
      <alignment horizontal="right"/>
    </xf>
    <xf numFmtId="171" fontId="25" fillId="0" borderId="0" xfId="3" applyNumberFormat="1" applyFont="1" applyFill="1" applyBorder="1" applyAlignment="1">
      <alignment horizontal="right"/>
    </xf>
    <xf numFmtId="171" fontId="25" fillId="0" borderId="0" xfId="3" applyNumberFormat="1" applyFont="1" applyBorder="1" applyAlignment="1">
      <alignment horizontal="right"/>
    </xf>
    <xf numFmtId="171" fontId="25" fillId="0" borderId="8" xfId="3" applyNumberFormat="1" applyFont="1" applyFill="1" applyBorder="1" applyAlignment="1">
      <alignment horizontal="right"/>
    </xf>
    <xf numFmtId="171" fontId="25" fillId="0" borderId="17" xfId="3" applyNumberFormat="1" applyFont="1" applyBorder="1" applyAlignment="1">
      <alignment horizontal="right"/>
    </xf>
    <xf numFmtId="171" fontId="26" fillId="0" borderId="8" xfId="1" applyNumberFormat="1" applyFont="1" applyBorder="1"/>
    <xf numFmtId="171" fontId="26" fillId="0" borderId="0" xfId="3" applyNumberFormat="1" applyFont="1" applyFill="1" applyBorder="1" applyAlignment="1">
      <alignment horizontal="right"/>
    </xf>
    <xf numFmtId="171" fontId="26" fillId="0" borderId="0" xfId="3" applyNumberFormat="1" applyFont="1" applyBorder="1" applyAlignment="1">
      <alignment horizontal="right"/>
    </xf>
    <xf numFmtId="171" fontId="26" fillId="0" borderId="8" xfId="3" applyNumberFormat="1" applyFont="1" applyFill="1" applyBorder="1" applyAlignment="1">
      <alignment horizontal="right"/>
    </xf>
    <xf numFmtId="171" fontId="26" fillId="0" borderId="17" xfId="3" applyNumberFormat="1" applyFont="1" applyBorder="1" applyAlignment="1">
      <alignment horizontal="right"/>
    </xf>
    <xf numFmtId="171" fontId="22" fillId="0" borderId="8" xfId="0" applyNumberFormat="1" applyFont="1" applyBorder="1"/>
    <xf numFmtId="171" fontId="26" fillId="0" borderId="8" xfId="3" applyNumberFormat="1" applyFont="1" applyBorder="1" applyAlignment="1">
      <alignment horizontal="right"/>
    </xf>
    <xf numFmtId="171" fontId="26" fillId="0" borderId="9" xfId="3" applyNumberFormat="1" applyFont="1" applyBorder="1" applyAlignment="1">
      <alignment horizontal="right"/>
    </xf>
    <xf numFmtId="171" fontId="26" fillId="0" borderId="1" xfId="3" applyNumberFormat="1" applyFont="1" applyFill="1" applyBorder="1" applyAlignment="1">
      <alignment horizontal="right"/>
    </xf>
    <xf numFmtId="171" fontId="26" fillId="0" borderId="1" xfId="3" applyNumberFormat="1" applyFont="1" applyBorder="1" applyAlignment="1">
      <alignment horizontal="right"/>
    </xf>
    <xf numFmtId="171" fontId="26" fillId="0" borderId="9" xfId="3" applyNumberFormat="1" applyFont="1" applyFill="1" applyBorder="1" applyAlignment="1">
      <alignment horizontal="right"/>
    </xf>
    <xf numFmtId="171" fontId="26" fillId="0" borderId="33" xfId="3" applyNumberFormat="1" applyFont="1" applyBorder="1" applyAlignment="1">
      <alignment horizontal="right"/>
    </xf>
    <xf numFmtId="171" fontId="26" fillId="0" borderId="4" xfId="3" applyNumberFormat="1" applyFont="1" applyBorder="1" applyAlignment="1">
      <alignment horizontal="right"/>
    </xf>
    <xf numFmtId="171" fontId="26" fillId="0" borderId="5" xfId="3" applyNumberFormat="1" applyFont="1" applyBorder="1" applyAlignment="1">
      <alignment horizontal="right"/>
    </xf>
    <xf numFmtId="171" fontId="1" fillId="0" borderId="10" xfId="1" applyNumberFormat="1" applyFont="1" applyBorder="1"/>
    <xf numFmtId="171" fontId="1" fillId="0" borderId="2" xfId="1" applyNumberFormat="1" applyFont="1" applyBorder="1"/>
    <xf numFmtId="171" fontId="1" fillId="0" borderId="21" xfId="1" applyNumberFormat="1" applyFont="1" applyBorder="1"/>
    <xf numFmtId="171" fontId="25" fillId="0" borderId="8" xfId="1" applyNumberFormat="1" applyFont="1" applyBorder="1"/>
    <xf numFmtId="171" fontId="25" fillId="0" borderId="0" xfId="1" applyNumberFormat="1" applyFont="1"/>
    <xf numFmtId="171" fontId="25" fillId="0" borderId="17" xfId="1" applyNumberFormat="1" applyFont="1" applyBorder="1"/>
    <xf numFmtId="171" fontId="1" fillId="0" borderId="14" xfId="1" applyNumberFormat="1" applyFont="1" applyBorder="1"/>
    <xf numFmtId="171" fontId="1" fillId="0" borderId="15" xfId="1" applyNumberFormat="1" applyFont="1" applyBorder="1"/>
    <xf numFmtId="171" fontId="1" fillId="0" borderId="18" xfId="1" applyNumberFormat="1" applyFont="1" applyBorder="1"/>
    <xf numFmtId="171" fontId="1" fillId="0" borderId="22" xfId="1" applyNumberFormat="1" applyFont="1" applyBorder="1"/>
    <xf numFmtId="171" fontId="1" fillId="0" borderId="23" xfId="1" applyNumberFormat="1" applyFont="1" applyBorder="1"/>
    <xf numFmtId="171" fontId="1" fillId="0" borderId="24" xfId="1" applyNumberFormat="1" applyFont="1" applyBorder="1"/>
    <xf numFmtId="0" fontId="27" fillId="0" borderId="0" xfId="0" applyFont="1"/>
    <xf numFmtId="0" fontId="27" fillId="3" borderId="30" xfId="0" applyFont="1" applyFill="1" applyBorder="1"/>
    <xf numFmtId="0" fontId="27" fillId="3" borderId="16" xfId="0" applyFont="1" applyFill="1" applyBorder="1"/>
    <xf numFmtId="0" fontId="27" fillId="3" borderId="26" xfId="0" applyFont="1" applyFill="1" applyBorder="1"/>
    <xf numFmtId="0" fontId="27" fillId="3" borderId="31" xfId="0" applyFont="1" applyFill="1" applyBorder="1"/>
    <xf numFmtId="0" fontId="27" fillId="3" borderId="0" xfId="0" applyFont="1" applyFill="1"/>
    <xf numFmtId="0" fontId="27" fillId="3" borderId="27" xfId="0" applyFont="1" applyFill="1" applyBorder="1"/>
    <xf numFmtId="0" fontId="28" fillId="3" borderId="0" xfId="0" applyFont="1" applyFill="1"/>
    <xf numFmtId="0" fontId="27" fillId="3" borderId="32" xfId="0" applyFont="1" applyFill="1" applyBorder="1"/>
    <xf numFmtId="0" fontId="27" fillId="3" borderId="23" xfId="0" applyFont="1" applyFill="1" applyBorder="1"/>
    <xf numFmtId="0" fontId="27" fillId="3" borderId="28" xfId="0" applyFont="1" applyFill="1" applyBorder="1"/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7" fillId="0" borderId="8" xfId="0" applyFont="1" applyBorder="1"/>
    <xf numFmtId="44" fontId="27" fillId="0" borderId="0" xfId="0" applyNumberFormat="1" applyFont="1"/>
    <xf numFmtId="165" fontId="27" fillId="0" borderId="0" xfId="0" applyNumberFormat="1" applyFont="1"/>
    <xf numFmtId="44" fontId="30" fillId="0" borderId="0" xfId="0" applyNumberFormat="1" applyFont="1"/>
    <xf numFmtId="0" fontId="31" fillId="0" borderId="0" xfId="0" applyFont="1" applyAlignment="1">
      <alignment horizontal="center"/>
    </xf>
    <xf numFmtId="0" fontId="16" fillId="0" borderId="0" xfId="1" applyFont="1" applyAlignment="1">
      <alignment horizontal="right"/>
    </xf>
    <xf numFmtId="0" fontId="32" fillId="0" borderId="0" xfId="1" applyFont="1"/>
    <xf numFmtId="165" fontId="32" fillId="0" borderId="0" xfId="3" applyFont="1" applyBorder="1"/>
    <xf numFmtId="0" fontId="16" fillId="0" borderId="0" xfId="1" applyFont="1" applyAlignment="1">
      <alignment horizontal="center"/>
    </xf>
    <xf numFmtId="165" fontId="16" fillId="0" borderId="0" xfId="3" applyFont="1" applyFill="1" applyBorder="1"/>
    <xf numFmtId="165" fontId="16" fillId="0" borderId="0" xfId="3" applyFont="1"/>
    <xf numFmtId="0" fontId="16" fillId="0" borderId="1" xfId="1" applyFont="1" applyBorder="1" applyAlignment="1">
      <alignment horizontal="right"/>
    </xf>
    <xf numFmtId="0" fontId="32" fillId="0" borderId="1" xfId="1" applyFont="1" applyBorder="1"/>
    <xf numFmtId="0" fontId="16" fillId="0" borderId="1" xfId="1" applyFont="1" applyBorder="1"/>
    <xf numFmtId="165" fontId="16" fillId="0" borderId="1" xfId="3" applyFont="1" applyBorder="1"/>
    <xf numFmtId="0" fontId="16" fillId="0" borderId="1" xfId="1" applyFont="1" applyBorder="1" applyAlignment="1">
      <alignment horizontal="center"/>
    </xf>
    <xf numFmtId="165" fontId="16" fillId="0" borderId="1" xfId="3" applyFont="1" applyFill="1" applyBorder="1"/>
    <xf numFmtId="0" fontId="16" fillId="0" borderId="8" xfId="1" applyFont="1" applyBorder="1"/>
    <xf numFmtId="0" fontId="16" fillId="0" borderId="10" xfId="1" applyFont="1" applyBorder="1" applyAlignment="1">
      <alignment horizontal="center"/>
    </xf>
    <xf numFmtId="165" fontId="16" fillId="0" borderId="5" xfId="3" applyFont="1" applyFill="1" applyBorder="1"/>
    <xf numFmtId="165" fontId="33" fillId="0" borderId="5" xfId="3" applyFont="1" applyFill="1" applyBorder="1" applyAlignment="1">
      <alignment horizontal="center"/>
    </xf>
    <xf numFmtId="0" fontId="32" fillId="0" borderId="0" xfId="1" applyFont="1" applyAlignment="1">
      <alignment horizontal="center"/>
    </xf>
    <xf numFmtId="0" fontId="32" fillId="0" borderId="9" xfId="1" applyFont="1" applyBorder="1" applyAlignment="1">
      <alignment horizontal="center"/>
    </xf>
    <xf numFmtId="0" fontId="32" fillId="0" borderId="1" xfId="1" applyFont="1" applyBorder="1" applyAlignment="1">
      <alignment horizontal="right"/>
    </xf>
    <xf numFmtId="165" fontId="32" fillId="0" borderId="1" xfId="3" applyFont="1" applyBorder="1"/>
    <xf numFmtId="165" fontId="33" fillId="0" borderId="6" xfId="3" applyFont="1" applyFill="1" applyBorder="1" applyAlignment="1">
      <alignment horizontal="center"/>
    </xf>
    <xf numFmtId="165" fontId="16" fillId="0" borderId="0" xfId="1" applyNumberFormat="1" applyFont="1"/>
    <xf numFmtId="0" fontId="32" fillId="0" borderId="12" xfId="1" applyFont="1" applyBorder="1"/>
    <xf numFmtId="0" fontId="32" fillId="0" borderId="2" xfId="1" applyFont="1" applyBorder="1"/>
    <xf numFmtId="165" fontId="32" fillId="0" borderId="3" xfId="3" applyFont="1" applyBorder="1"/>
    <xf numFmtId="44" fontId="32" fillId="0" borderId="10" xfId="1" applyNumberFormat="1" applyFont="1" applyBorder="1" applyAlignment="1">
      <alignment horizontal="center"/>
    </xf>
    <xf numFmtId="165" fontId="16" fillId="0" borderId="2" xfId="3" applyFont="1" applyFill="1" applyBorder="1"/>
    <xf numFmtId="165" fontId="16" fillId="0" borderId="10" xfId="3" applyFont="1" applyFill="1" applyBorder="1"/>
    <xf numFmtId="14" fontId="16" fillId="0" borderId="4" xfId="1" applyNumberFormat="1" applyFont="1" applyBorder="1"/>
    <xf numFmtId="0" fontId="16" fillId="0" borderId="4" xfId="1" applyFont="1" applyBorder="1"/>
    <xf numFmtId="44" fontId="16" fillId="0" borderId="8" xfId="1" applyNumberFormat="1" applyFont="1" applyBorder="1" applyAlignment="1">
      <alignment horizontal="center"/>
    </xf>
    <xf numFmtId="165" fontId="16" fillId="0" borderId="8" xfId="3" applyFont="1" applyFill="1" applyBorder="1"/>
    <xf numFmtId="44" fontId="16" fillId="0" borderId="0" xfId="1" applyNumberFormat="1" applyFont="1"/>
    <xf numFmtId="0" fontId="32" fillId="0" borderId="4" xfId="1" applyFont="1" applyBorder="1"/>
    <xf numFmtId="165" fontId="16" fillId="0" borderId="0" xfId="3" applyFont="1" applyBorder="1"/>
    <xf numFmtId="0" fontId="32" fillId="0" borderId="4" xfId="1" applyFont="1" applyBorder="1" applyAlignment="1">
      <alignment horizontal="right"/>
    </xf>
    <xf numFmtId="165" fontId="16" fillId="0" borderId="5" xfId="3" applyFont="1" applyBorder="1"/>
    <xf numFmtId="44" fontId="16" fillId="0" borderId="8" xfId="1" quotePrefix="1" applyNumberFormat="1" applyFont="1" applyBorder="1" applyAlignment="1">
      <alignment horizontal="center"/>
    </xf>
    <xf numFmtId="9" fontId="16" fillId="0" borderId="0" xfId="1" applyNumberFormat="1" applyFont="1"/>
    <xf numFmtId="165" fontId="16" fillId="0" borderId="8" xfId="1" applyNumberFormat="1" applyFont="1" applyBorder="1"/>
    <xf numFmtId="9" fontId="16" fillId="0" borderId="4" xfId="1" applyNumberFormat="1" applyFont="1" applyBorder="1"/>
    <xf numFmtId="165" fontId="16" fillId="0" borderId="35" xfId="3" applyFont="1" applyBorder="1"/>
    <xf numFmtId="165" fontId="16" fillId="0" borderId="43" xfId="3" applyFont="1" applyBorder="1"/>
    <xf numFmtId="0" fontId="16" fillId="0" borderId="45" xfId="1" applyFont="1" applyBorder="1"/>
    <xf numFmtId="0" fontId="16" fillId="2" borderId="47" xfId="1" applyFont="1" applyFill="1" applyBorder="1" applyAlignment="1">
      <alignment horizontal="center"/>
    </xf>
    <xf numFmtId="0" fontId="16" fillId="0" borderId="45" xfId="1" applyFont="1" applyBorder="1" applyAlignment="1">
      <alignment horizontal="left"/>
    </xf>
    <xf numFmtId="44" fontId="16" fillId="2" borderId="0" xfId="1" applyNumberFormat="1" applyFont="1" applyFill="1" applyAlignment="1">
      <alignment horizontal="center"/>
    </xf>
    <xf numFmtId="49" fontId="16" fillId="0" borderId="0" xfId="1" applyNumberFormat="1" applyFont="1"/>
    <xf numFmtId="44" fontId="16" fillId="0" borderId="5" xfId="3" applyNumberFormat="1" applyFont="1" applyBorder="1"/>
    <xf numFmtId="166" fontId="16" fillId="0" borderId="0" xfId="2" applyFont="1" applyFill="1"/>
    <xf numFmtId="44" fontId="16" fillId="0" borderId="40" xfId="3" applyNumberFormat="1" applyFont="1" applyFill="1" applyBorder="1"/>
    <xf numFmtId="44" fontId="16" fillId="0" borderId="0" xfId="3" applyNumberFormat="1" applyFont="1" applyFill="1" applyBorder="1"/>
    <xf numFmtId="44" fontId="16" fillId="0" borderId="8" xfId="3" applyNumberFormat="1" applyFont="1" applyFill="1" applyBorder="1"/>
    <xf numFmtId="9" fontId="30" fillId="0" borderId="4" xfId="1" applyNumberFormat="1" applyFont="1" applyBorder="1"/>
    <xf numFmtId="44" fontId="16" fillId="0" borderId="35" xfId="3" applyNumberFormat="1" applyFont="1" applyBorder="1"/>
    <xf numFmtId="165" fontId="16" fillId="0" borderId="0" xfId="3" applyFont="1" applyFill="1"/>
    <xf numFmtId="165" fontId="16" fillId="0" borderId="9" xfId="3" applyFont="1" applyFill="1" applyBorder="1"/>
    <xf numFmtId="165" fontId="16" fillId="0" borderId="15" xfId="3" applyFont="1" applyFill="1" applyBorder="1"/>
    <xf numFmtId="165" fontId="16" fillId="0" borderId="14" xfId="3" applyFont="1" applyFill="1" applyBorder="1"/>
    <xf numFmtId="0" fontId="16" fillId="0" borderId="9" xfId="1" applyFont="1" applyBorder="1"/>
    <xf numFmtId="0" fontId="16" fillId="0" borderId="7" xfId="1" applyFont="1" applyBorder="1"/>
    <xf numFmtId="165" fontId="16" fillId="0" borderId="6" xfId="3" applyFont="1" applyBorder="1"/>
    <xf numFmtId="44" fontId="16" fillId="0" borderId="9" xfId="1" applyNumberFormat="1" applyFont="1" applyBorder="1" applyAlignment="1">
      <alignment horizontal="center"/>
    </xf>
    <xf numFmtId="165" fontId="16" fillId="0" borderId="13" xfId="3" applyFont="1" applyFill="1" applyBorder="1"/>
    <xf numFmtId="44" fontId="16" fillId="0" borderId="0" xfId="1" applyNumberFormat="1" applyFont="1" applyAlignment="1">
      <alignment horizontal="center"/>
    </xf>
    <xf numFmtId="165" fontId="30" fillId="0" borderId="8" xfId="3" applyFont="1" applyFill="1" applyBorder="1"/>
    <xf numFmtId="0" fontId="30" fillId="2" borderId="0" xfId="1" applyFont="1" applyFill="1" applyAlignment="1">
      <alignment horizontal="center"/>
    </xf>
    <xf numFmtId="44" fontId="16" fillId="0" borderId="5" xfId="3" applyNumberFormat="1" applyFont="1" applyFill="1" applyBorder="1"/>
    <xf numFmtId="0" fontId="30" fillId="0" borderId="0" xfId="1" applyFont="1"/>
    <xf numFmtId="44" fontId="30" fillId="0" borderId="5" xfId="3" applyNumberFormat="1" applyFont="1" applyFill="1" applyBorder="1"/>
    <xf numFmtId="44" fontId="30" fillId="0" borderId="8" xfId="1" quotePrefix="1" applyNumberFormat="1" applyFont="1" applyBorder="1" applyAlignment="1">
      <alignment horizontal="center"/>
    </xf>
    <xf numFmtId="165" fontId="30" fillId="0" borderId="0" xfId="3" applyFont="1" applyFill="1" applyBorder="1"/>
    <xf numFmtId="9" fontId="16" fillId="0" borderId="0" xfId="1" applyNumberFormat="1" applyFont="1" applyAlignment="1">
      <alignment horizontal="left"/>
    </xf>
    <xf numFmtId="0" fontId="30" fillId="0" borderId="4" xfId="1" applyFont="1" applyBorder="1"/>
    <xf numFmtId="9" fontId="30" fillId="0" borderId="0" xfId="1" applyNumberFormat="1" applyFont="1" applyAlignment="1">
      <alignment horizontal="left"/>
    </xf>
    <xf numFmtId="0" fontId="29" fillId="0" borderId="4" xfId="1" applyFont="1" applyBorder="1"/>
    <xf numFmtId="44" fontId="16" fillId="0" borderId="9" xfId="3" applyNumberFormat="1" applyFont="1" applyFill="1" applyBorder="1"/>
    <xf numFmtId="9" fontId="30" fillId="0" borderId="0" xfId="1" applyNumberFormat="1" applyFont="1"/>
    <xf numFmtId="165" fontId="30" fillId="0" borderId="5" xfId="3" applyFont="1" applyFill="1" applyBorder="1"/>
    <xf numFmtId="165" fontId="30" fillId="0" borderId="0" xfId="1" applyNumberFormat="1" applyFont="1"/>
    <xf numFmtId="165" fontId="16" fillId="0" borderId="6" xfId="3" applyFont="1" applyFill="1" applyBorder="1"/>
    <xf numFmtId="44" fontId="16" fillId="0" borderId="46" xfId="1" quotePrefix="1" applyNumberFormat="1" applyFont="1" applyBorder="1" applyAlignment="1">
      <alignment horizontal="center"/>
    </xf>
    <xf numFmtId="0" fontId="16" fillId="0" borderId="12" xfId="1" applyFont="1" applyBorder="1"/>
    <xf numFmtId="0" fontId="16" fillId="0" borderId="2" xfId="1" applyFont="1" applyBorder="1"/>
    <xf numFmtId="0" fontId="16" fillId="0" borderId="2" xfId="1" applyFont="1" applyBorder="1" applyAlignment="1">
      <alignment horizontal="center"/>
    </xf>
    <xf numFmtId="165" fontId="16" fillId="0" borderId="3" xfId="3" applyFont="1" applyFill="1" applyBorder="1"/>
    <xf numFmtId="0" fontId="16" fillId="0" borderId="7" xfId="1" applyFont="1" applyBorder="1" applyAlignment="1">
      <alignment horizontal="right"/>
    </xf>
    <xf numFmtId="0" fontId="32" fillId="0" borderId="9" xfId="1" applyFont="1" applyBorder="1"/>
    <xf numFmtId="44" fontId="30" fillId="0" borderId="8" xfId="1" applyNumberFormat="1" applyFont="1" applyBorder="1" applyAlignment="1">
      <alignment horizontal="center"/>
    </xf>
    <xf numFmtId="0" fontId="34" fillId="0" borderId="4" xfId="1" applyFont="1" applyBorder="1"/>
    <xf numFmtId="9" fontId="16" fillId="0" borderId="0" xfId="5" applyFont="1" applyBorder="1"/>
    <xf numFmtId="0" fontId="16" fillId="0" borderId="4" xfId="1" applyFont="1" applyBorder="1" applyAlignment="1">
      <alignment horizontal="center"/>
    </xf>
    <xf numFmtId="44" fontId="16" fillId="0" borderId="43" xfId="3" applyNumberFormat="1" applyFont="1" applyBorder="1"/>
    <xf numFmtId="44" fontId="16" fillId="0" borderId="6" xfId="3" applyNumberFormat="1" applyFont="1" applyFill="1" applyBorder="1"/>
    <xf numFmtId="165" fontId="30" fillId="0" borderId="43" xfId="3" applyFont="1" applyFill="1" applyBorder="1"/>
    <xf numFmtId="0" fontId="16" fillId="0" borderId="44" xfId="1" applyFont="1" applyBorder="1"/>
    <xf numFmtId="165" fontId="16" fillId="0" borderId="43" xfId="3" applyFont="1" applyFill="1" applyBorder="1"/>
    <xf numFmtId="44" fontId="30" fillId="0" borderId="0" xfId="3" applyNumberFormat="1" applyFont="1" applyFill="1" applyBorder="1"/>
    <xf numFmtId="44" fontId="30" fillId="0" borderId="8" xfId="3" applyNumberFormat="1" applyFont="1" applyFill="1" applyBorder="1"/>
    <xf numFmtId="44" fontId="35" fillId="0" borderId="8" xfId="3" applyNumberFormat="1" applyFont="1" applyFill="1" applyBorder="1"/>
    <xf numFmtId="44" fontId="16" fillId="0" borderId="1" xfId="3" applyNumberFormat="1" applyFont="1" applyFill="1" applyBorder="1"/>
    <xf numFmtId="44" fontId="16" fillId="0" borderId="8" xfId="1" applyNumberFormat="1" applyFont="1" applyBorder="1"/>
    <xf numFmtId="44" fontId="16" fillId="0" borderId="15" xfId="3" applyNumberFormat="1" applyFont="1" applyFill="1" applyBorder="1"/>
    <xf numFmtId="44" fontId="16" fillId="0" borderId="14" xfId="3" applyNumberFormat="1" applyFont="1" applyFill="1" applyBorder="1"/>
    <xf numFmtId="44" fontId="16" fillId="0" borderId="13" xfId="3" applyNumberFormat="1" applyFont="1" applyFill="1" applyBorder="1"/>
    <xf numFmtId="165" fontId="16" fillId="0" borderId="0" xfId="3" applyFont="1" applyFill="1" applyBorder="1" applyAlignment="1">
      <alignment horizontal="right"/>
    </xf>
    <xf numFmtId="169" fontId="16" fillId="0" borderId="0" xfId="3" applyNumberFormat="1" applyFont="1" applyFill="1" applyBorder="1" applyAlignment="1">
      <alignment horizontal="center"/>
    </xf>
    <xf numFmtId="0" fontId="16" fillId="0" borderId="5" xfId="1" applyFont="1" applyBorder="1"/>
    <xf numFmtId="0" fontId="16" fillId="0" borderId="41" xfId="1" applyFont="1" applyBorder="1"/>
    <xf numFmtId="0" fontId="16" fillId="0" borderId="37" xfId="1" applyFont="1" applyBorder="1"/>
    <xf numFmtId="165" fontId="16" fillId="0" borderId="37" xfId="3" applyFont="1" applyFill="1" applyBorder="1"/>
    <xf numFmtId="0" fontId="32" fillId="0" borderId="37" xfId="1" applyFont="1" applyBorder="1" applyAlignment="1">
      <alignment horizontal="center"/>
    </xf>
    <xf numFmtId="165" fontId="33" fillId="0" borderId="37" xfId="3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165" fontId="16" fillId="0" borderId="37" xfId="1" applyNumberFormat="1" applyFont="1" applyBorder="1"/>
    <xf numFmtId="165" fontId="16" fillId="0" borderId="10" xfId="1" applyNumberFormat="1" applyFont="1" applyBorder="1"/>
    <xf numFmtId="165" fontId="16" fillId="0" borderId="38" xfId="3" applyFont="1" applyFill="1" applyBorder="1"/>
    <xf numFmtId="165" fontId="16" fillId="0" borderId="39" xfId="1" applyNumberFormat="1" applyFont="1" applyBorder="1"/>
    <xf numFmtId="44" fontId="16" fillId="0" borderId="39" xfId="3" applyNumberFormat="1" applyFont="1" applyFill="1" applyBorder="1"/>
    <xf numFmtId="0" fontId="16" fillId="0" borderId="9" xfId="1" applyFont="1" applyBorder="1" applyAlignment="1">
      <alignment horizontal="center"/>
    </xf>
    <xf numFmtId="165" fontId="35" fillId="0" borderId="0" xfId="3" applyFont="1" applyFill="1" applyBorder="1"/>
    <xf numFmtId="14" fontId="32" fillId="0" borderId="0" xfId="1" applyNumberFormat="1" applyFont="1" applyAlignment="1">
      <alignment horizontal="center"/>
    </xf>
    <xf numFmtId="0" fontId="16" fillId="0" borderId="3" xfId="1" applyFont="1" applyBorder="1"/>
    <xf numFmtId="14" fontId="16" fillId="0" borderId="3" xfId="3" applyNumberFormat="1" applyFont="1" applyFill="1" applyBorder="1"/>
    <xf numFmtId="0" fontId="16" fillId="0" borderId="6" xfId="1" applyFont="1" applyBorder="1"/>
    <xf numFmtId="0" fontId="16" fillId="0" borderId="5" xfId="1" applyFont="1" applyBorder="1" applyAlignment="1">
      <alignment horizontal="center"/>
    </xf>
    <xf numFmtId="14" fontId="16" fillId="0" borderId="8" xfId="1" applyNumberFormat="1" applyFont="1" applyBorder="1"/>
    <xf numFmtId="0" fontId="16" fillId="0" borderId="8" xfId="1" applyFont="1" applyBorder="1" applyAlignment="1">
      <alignment horizontal="center"/>
    </xf>
    <xf numFmtId="44" fontId="27" fillId="0" borderId="8" xfId="0" applyNumberFormat="1" applyFont="1" applyBorder="1"/>
    <xf numFmtId="165" fontId="16" fillId="0" borderId="8" xfId="3" applyFont="1" applyBorder="1"/>
    <xf numFmtId="165" fontId="30" fillId="0" borderId="5" xfId="3" applyFont="1" applyBorder="1"/>
    <xf numFmtId="14" fontId="16" fillId="0" borderId="0" xfId="3" applyNumberFormat="1" applyFont="1" applyBorder="1"/>
    <xf numFmtId="44" fontId="16" fillId="0" borderId="0" xfId="3" applyNumberFormat="1" applyFont="1" applyBorder="1"/>
    <xf numFmtId="165" fontId="16" fillId="0" borderId="11" xfId="3" applyFont="1" applyFill="1" applyBorder="1"/>
    <xf numFmtId="14" fontId="16" fillId="0" borderId="2" xfId="1" applyNumberFormat="1" applyFont="1" applyBorder="1"/>
    <xf numFmtId="165" fontId="16" fillId="0" borderId="2" xfId="3" applyFont="1" applyBorder="1"/>
    <xf numFmtId="14" fontId="16" fillId="0" borderId="0" xfId="1" applyNumberFormat="1" applyFont="1"/>
    <xf numFmtId="14" fontId="16" fillId="0" borderId="2" xfId="3" applyNumberFormat="1" applyFont="1" applyBorder="1"/>
    <xf numFmtId="14" fontId="36" fillId="0" borderId="8" xfId="1" applyNumberFormat="1" applyFont="1" applyBorder="1"/>
    <xf numFmtId="165" fontId="36" fillId="0" borderId="0" xfId="3" applyFont="1" applyFill="1" applyBorder="1"/>
    <xf numFmtId="0" fontId="36" fillId="0" borderId="8" xfId="1" applyFont="1" applyBorder="1" applyAlignment="1">
      <alignment horizontal="center"/>
    </xf>
    <xf numFmtId="165" fontId="36" fillId="0" borderId="8" xfId="3" applyFont="1" applyFill="1" applyBorder="1"/>
    <xf numFmtId="165" fontId="16" fillId="0" borderId="5" xfId="1" applyNumberFormat="1" applyFont="1" applyBorder="1"/>
    <xf numFmtId="0" fontId="16" fillId="0" borderId="0" xfId="1" applyFont="1" applyFill="1"/>
    <xf numFmtId="0" fontId="16" fillId="0" borderId="8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4" xfId="1" applyFont="1" applyFill="1" applyBorder="1"/>
    <xf numFmtId="14" fontId="16" fillId="0" borderId="9" xfId="1" applyNumberFormat="1" applyFont="1" applyBorder="1"/>
  </cellXfs>
  <cellStyles count="6">
    <cellStyle name="Comma 2" xfId="2"/>
    <cellStyle name="Currency 2" xfId="3"/>
    <cellStyle name="Normal" xfId="0" builtinId="0"/>
    <cellStyle name="Normal 2" xfId="4"/>
    <cellStyle name="Normal 3" xfId="1"/>
    <cellStyle name="Percent" xfId="5" builtinId="5"/>
  </cellStyles>
  <dxfs count="0"/>
  <tableStyles count="0" defaultTableStyle="TableStyleMedium2" defaultPivotStyle="PivotStyleLight16"/>
  <colors>
    <mruColors>
      <color rgb="FF8BE1FF"/>
      <color rgb="FFFF9999"/>
      <color rgb="FFEDEBCF"/>
      <color rgb="FFE1E18F"/>
      <color rgb="FFFFCC99"/>
      <color rgb="FFCCFFCC"/>
      <color rgb="FFFF7C80"/>
      <color rgb="FFFFCCCC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4:I20"/>
  <sheetViews>
    <sheetView tabSelected="1" zoomScaleNormal="100" workbookViewId="0">
      <selection activeCell="L12" sqref="L12"/>
    </sheetView>
  </sheetViews>
  <sheetFormatPr defaultRowHeight="14.25" x14ac:dyDescent="0.2"/>
  <cols>
    <col min="1" max="1" width="6.42578125" style="192" customWidth="1"/>
    <col min="2" max="6" width="9.140625" style="192"/>
    <col min="7" max="8" width="10.28515625" style="192" customWidth="1"/>
    <col min="9" max="16384" width="9.140625" style="192"/>
  </cols>
  <sheetData>
    <row r="4" spans="2:9" ht="15" thickBot="1" x14ac:dyDescent="0.25"/>
    <row r="5" spans="2:9" x14ac:dyDescent="0.2">
      <c r="B5" s="193"/>
      <c r="C5" s="194"/>
      <c r="D5" s="194"/>
      <c r="E5" s="194"/>
      <c r="F5" s="194"/>
      <c r="G5" s="194"/>
      <c r="H5" s="194"/>
      <c r="I5" s="195"/>
    </row>
    <row r="6" spans="2:9" x14ac:dyDescent="0.2">
      <c r="B6" s="196"/>
      <c r="C6" s="197"/>
      <c r="D6" s="197"/>
      <c r="E6" s="197"/>
      <c r="F6" s="197"/>
      <c r="G6" s="197"/>
      <c r="H6" s="197"/>
      <c r="I6" s="198"/>
    </row>
    <row r="7" spans="2:9" x14ac:dyDescent="0.2">
      <c r="B7" s="196"/>
      <c r="C7" s="197"/>
      <c r="D7" s="197"/>
      <c r="E7" s="197"/>
      <c r="F7" s="197"/>
      <c r="G7" s="197"/>
      <c r="H7" s="197"/>
      <c r="I7" s="198"/>
    </row>
    <row r="8" spans="2:9" ht="15" x14ac:dyDescent="0.25">
      <c r="B8" s="196"/>
      <c r="C8" s="48" t="s">
        <v>101</v>
      </c>
      <c r="D8" s="48"/>
      <c r="E8" s="48"/>
      <c r="F8" s="48"/>
      <c r="G8" s="48"/>
      <c r="H8" s="48"/>
      <c r="I8" s="198"/>
    </row>
    <row r="9" spans="2:9" ht="15" x14ac:dyDescent="0.25">
      <c r="B9" s="196"/>
      <c r="C9" s="48"/>
      <c r="D9" s="48"/>
      <c r="E9" s="48"/>
      <c r="F9" s="48"/>
      <c r="G9" s="48"/>
      <c r="H9" s="48"/>
      <c r="I9" s="198"/>
    </row>
    <row r="10" spans="2:9" ht="15" x14ac:dyDescent="0.25">
      <c r="B10" s="196"/>
      <c r="C10" s="48"/>
      <c r="D10" s="48"/>
      <c r="E10" s="48"/>
      <c r="F10" s="48"/>
      <c r="G10" s="48"/>
      <c r="H10" s="48"/>
      <c r="I10" s="198"/>
    </row>
    <row r="11" spans="2:9" ht="15" x14ac:dyDescent="0.25">
      <c r="B11" s="196"/>
      <c r="C11" s="48"/>
      <c r="D11" s="48"/>
      <c r="E11" s="48"/>
      <c r="F11" s="48"/>
      <c r="G11" s="48"/>
      <c r="H11" s="48"/>
      <c r="I11" s="198"/>
    </row>
    <row r="12" spans="2:9" ht="15" x14ac:dyDescent="0.25">
      <c r="B12" s="196"/>
      <c r="C12" s="48" t="s">
        <v>41</v>
      </c>
      <c r="D12" s="48"/>
      <c r="E12" s="48"/>
      <c r="F12" s="48" t="s">
        <v>102</v>
      </c>
      <c r="G12" s="48"/>
      <c r="H12" s="48"/>
      <c r="I12" s="198"/>
    </row>
    <row r="13" spans="2:9" ht="15" x14ac:dyDescent="0.25">
      <c r="B13" s="196"/>
      <c r="C13" s="48"/>
      <c r="D13" s="48"/>
      <c r="E13" s="48"/>
      <c r="F13" s="48"/>
      <c r="G13" s="48"/>
      <c r="H13" s="48"/>
      <c r="I13" s="198"/>
    </row>
    <row r="14" spans="2:9" ht="15" x14ac:dyDescent="0.25">
      <c r="B14" s="196"/>
      <c r="C14" s="48"/>
      <c r="D14" s="48"/>
      <c r="E14" s="48"/>
      <c r="F14" s="48"/>
      <c r="G14" s="48"/>
      <c r="H14" s="48"/>
      <c r="I14" s="198"/>
    </row>
    <row r="15" spans="2:9" ht="15" x14ac:dyDescent="0.25">
      <c r="B15" s="196"/>
      <c r="C15" s="48"/>
      <c r="D15" s="48"/>
      <c r="E15" s="48"/>
      <c r="F15" s="48"/>
      <c r="G15" s="48"/>
      <c r="H15" s="48"/>
      <c r="I15" s="198"/>
    </row>
    <row r="16" spans="2:9" ht="15" x14ac:dyDescent="0.25">
      <c r="B16" s="196"/>
      <c r="C16" s="48" t="s">
        <v>83</v>
      </c>
      <c r="D16" s="48"/>
      <c r="E16" s="48"/>
      <c r="F16" s="48"/>
      <c r="G16" s="48"/>
      <c r="H16" s="48"/>
      <c r="I16" s="198"/>
    </row>
    <row r="17" spans="2:9" x14ac:dyDescent="0.2">
      <c r="B17" s="196"/>
      <c r="C17" s="199"/>
      <c r="D17" s="199"/>
      <c r="E17" s="199"/>
      <c r="F17" s="199"/>
      <c r="G17" s="199"/>
      <c r="H17" s="199"/>
      <c r="I17" s="198"/>
    </row>
    <row r="18" spans="2:9" x14ac:dyDescent="0.2">
      <c r="B18" s="196"/>
      <c r="C18" s="199"/>
      <c r="D18" s="199"/>
      <c r="E18" s="199"/>
      <c r="F18" s="199"/>
      <c r="G18" s="199"/>
      <c r="H18" s="199"/>
      <c r="I18" s="198"/>
    </row>
    <row r="19" spans="2:9" x14ac:dyDescent="0.2">
      <c r="B19" s="196"/>
      <c r="C19" s="197"/>
      <c r="D19" s="197"/>
      <c r="E19" s="197"/>
      <c r="F19" s="197"/>
      <c r="G19" s="197"/>
      <c r="H19" s="197"/>
      <c r="I19" s="198"/>
    </row>
    <row r="20" spans="2:9" ht="15" thickBot="1" x14ac:dyDescent="0.25">
      <c r="B20" s="200"/>
      <c r="C20" s="201"/>
      <c r="D20" s="201"/>
      <c r="E20" s="201"/>
      <c r="F20" s="201"/>
      <c r="G20" s="201"/>
      <c r="H20" s="201"/>
      <c r="I20" s="20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96"/>
  <sheetViews>
    <sheetView view="pageLayout" topLeftCell="A34" zoomScaleNormal="80" workbookViewId="0">
      <selection activeCell="A4" sqref="A4"/>
    </sheetView>
  </sheetViews>
  <sheetFormatPr defaultRowHeight="14.25" x14ac:dyDescent="0.2"/>
  <cols>
    <col min="1" max="1" width="9.85546875" style="192" customWidth="1"/>
    <col min="2" max="2" width="27.7109375" style="192" customWidth="1"/>
    <col min="3" max="3" width="17.140625" style="192" customWidth="1"/>
    <col min="4" max="4" width="22.42578125" style="192" customWidth="1"/>
    <col min="5" max="5" width="17.28515625" style="192" bestFit="1" customWidth="1"/>
    <col min="6" max="7" width="18.85546875" style="192" bestFit="1" customWidth="1"/>
    <col min="8" max="8" width="2.5703125" style="192" customWidth="1"/>
    <col min="9" max="9" width="18.140625" style="192" customWidth="1"/>
    <col min="10" max="10" width="16.85546875" style="192" customWidth="1"/>
    <col min="11" max="11" width="17.42578125" style="192" bestFit="1" customWidth="1"/>
    <col min="12" max="16384" width="9.140625" style="192"/>
  </cols>
  <sheetData>
    <row r="1" spans="1:13" ht="15" x14ac:dyDescent="0.25">
      <c r="A1" s="203" t="str">
        <f>+'F Page'!C8</f>
        <v xml:space="preserve">VALLEYGROVE FARMS (PTY) LTD (IN LIQUIDATION) </v>
      </c>
      <c r="B1" s="203"/>
      <c r="C1" s="203"/>
      <c r="F1" s="47"/>
      <c r="G1" s="47"/>
      <c r="H1" s="47"/>
      <c r="I1" s="210"/>
      <c r="L1" s="47"/>
      <c r="M1" s="47"/>
    </row>
    <row r="2" spans="1:13" ht="15" x14ac:dyDescent="0.25">
      <c r="A2" s="203"/>
      <c r="B2" s="204"/>
      <c r="C2" s="204"/>
      <c r="D2" s="205" t="str">
        <f>+'F Page'!C16</f>
        <v>THE FIRST  LIQUIDATION &amp; DISTRIBUTION  ACCOUNT</v>
      </c>
      <c r="E2" s="46"/>
      <c r="F2" s="47"/>
      <c r="G2" s="47"/>
      <c r="H2" s="47"/>
      <c r="I2" s="47"/>
      <c r="L2" s="47"/>
      <c r="M2" s="47"/>
    </row>
    <row r="3" spans="1:13" ht="15" x14ac:dyDescent="0.25">
      <c r="A3" s="203"/>
      <c r="B3" s="204"/>
      <c r="C3" s="204"/>
      <c r="D3" s="204"/>
      <c r="E3" s="46"/>
      <c r="F3" s="47"/>
      <c r="G3" s="47"/>
      <c r="H3" s="47"/>
      <c r="I3" s="47"/>
      <c r="L3" s="47"/>
      <c r="M3" s="47"/>
    </row>
    <row r="4" spans="1:13" ht="15" x14ac:dyDescent="0.25">
      <c r="A4" s="47"/>
      <c r="B4" s="211"/>
      <c r="C4" s="47"/>
      <c r="D4" s="47"/>
      <c r="E4" s="47"/>
      <c r="F4" s="47"/>
      <c r="G4" s="47"/>
      <c r="H4" s="47"/>
      <c r="I4" s="47"/>
      <c r="L4" s="203"/>
      <c r="M4" s="203"/>
    </row>
    <row r="5" spans="1:13" x14ac:dyDescent="0.2">
      <c r="A5" s="47"/>
      <c r="B5" s="212" t="s">
        <v>0</v>
      </c>
      <c r="C5" s="212"/>
      <c r="D5" s="213"/>
      <c r="E5" s="214"/>
      <c r="F5" s="215"/>
      <c r="G5" s="215"/>
      <c r="H5" s="216"/>
      <c r="I5" s="47"/>
      <c r="L5" s="47"/>
      <c r="M5" s="47"/>
    </row>
    <row r="6" spans="1:13" x14ac:dyDescent="0.2">
      <c r="A6" s="217" t="s">
        <v>1</v>
      </c>
      <c r="B6" s="218"/>
      <c r="C6" s="219"/>
      <c r="D6" s="220"/>
      <c r="E6" s="221"/>
      <c r="F6" s="222"/>
      <c r="G6" s="222"/>
      <c r="H6" s="216"/>
      <c r="I6" s="47"/>
      <c r="L6" s="47"/>
      <c r="M6" s="47"/>
    </row>
    <row r="7" spans="1:13" ht="16.5" x14ac:dyDescent="0.35">
      <c r="A7" s="223"/>
      <c r="B7" s="212" t="s">
        <v>2</v>
      </c>
      <c r="C7" s="47"/>
      <c r="D7" s="47"/>
      <c r="E7" s="224"/>
      <c r="F7" s="225"/>
      <c r="G7" s="226"/>
      <c r="H7" s="216"/>
      <c r="I7" s="47"/>
      <c r="L7" s="227"/>
      <c r="M7" s="227"/>
    </row>
    <row r="8" spans="1:13" ht="16.5" x14ac:dyDescent="0.35">
      <c r="A8" s="228" t="s">
        <v>4</v>
      </c>
      <c r="B8" s="229" t="s">
        <v>80</v>
      </c>
      <c r="C8" s="218"/>
      <c r="D8" s="230"/>
      <c r="E8" s="228" t="s">
        <v>6</v>
      </c>
      <c r="F8" s="231" t="s">
        <v>81</v>
      </c>
      <c r="G8" s="231" t="s">
        <v>82</v>
      </c>
      <c r="H8" s="216"/>
      <c r="I8" s="232"/>
      <c r="L8" s="232"/>
      <c r="M8" s="232"/>
    </row>
    <row r="9" spans="1:13" x14ac:dyDescent="0.2">
      <c r="A9" s="233"/>
      <c r="B9" s="233"/>
      <c r="C9" s="234"/>
      <c r="D9" s="235"/>
      <c r="E9" s="236"/>
      <c r="F9" s="237"/>
      <c r="G9" s="238"/>
      <c r="H9" s="216"/>
      <c r="I9" s="47"/>
      <c r="L9" s="232"/>
      <c r="M9" s="232"/>
    </row>
    <row r="10" spans="1:13" x14ac:dyDescent="0.2">
      <c r="A10" s="239">
        <v>44543</v>
      </c>
      <c r="B10" s="240" t="s">
        <v>147</v>
      </c>
      <c r="C10" s="47"/>
      <c r="D10" s="225"/>
      <c r="E10" s="241"/>
      <c r="F10" s="215">
        <v>7913043.4800000004</v>
      </c>
      <c r="G10" s="242"/>
      <c r="H10" s="216"/>
      <c r="I10" s="47"/>
      <c r="L10" s="232"/>
      <c r="M10" s="232"/>
    </row>
    <row r="11" spans="1:13" x14ac:dyDescent="0.2">
      <c r="A11" s="239"/>
      <c r="B11" s="240" t="s">
        <v>38</v>
      </c>
      <c r="C11" s="47"/>
      <c r="D11" s="225"/>
      <c r="E11" s="241">
        <f>+F11</f>
        <v>1186956.5220000001</v>
      </c>
      <c r="F11" s="215">
        <f>+F10*0.15</f>
        <v>1186956.5220000001</v>
      </c>
      <c r="G11" s="242"/>
      <c r="H11" s="216"/>
      <c r="I11" s="243">
        <f>+F10+F11</f>
        <v>9100000.0020000003</v>
      </c>
      <c r="L11" s="47"/>
      <c r="M11" s="47"/>
    </row>
    <row r="12" spans="1:13" x14ac:dyDescent="0.2">
      <c r="A12" s="244"/>
      <c r="B12" s="240" t="s">
        <v>149</v>
      </c>
      <c r="C12" s="47"/>
      <c r="D12" s="225"/>
      <c r="E12" s="241"/>
      <c r="F12" s="215"/>
      <c r="G12" s="242"/>
      <c r="H12" s="216"/>
      <c r="I12" s="243"/>
      <c r="L12" s="47"/>
      <c r="M12" s="47"/>
    </row>
    <row r="13" spans="1:13" x14ac:dyDescent="0.2">
      <c r="A13" s="244"/>
      <c r="B13" s="240" t="s">
        <v>148</v>
      </c>
      <c r="C13" s="47"/>
      <c r="D13" s="225"/>
      <c r="E13" s="241"/>
      <c r="F13" s="215"/>
      <c r="G13" s="242"/>
      <c r="H13" s="216"/>
      <c r="I13" s="243"/>
      <c r="L13" s="47"/>
      <c r="M13" s="47"/>
    </row>
    <row r="14" spans="1:13" x14ac:dyDescent="0.2">
      <c r="A14" s="223"/>
      <c r="B14" s="47"/>
      <c r="C14" s="47"/>
      <c r="D14" s="245"/>
      <c r="E14" s="241"/>
      <c r="F14" s="215"/>
      <c r="G14" s="242"/>
      <c r="H14" s="216"/>
      <c r="I14" s="243"/>
      <c r="L14" s="47"/>
      <c r="M14" s="47"/>
    </row>
    <row r="15" spans="1:13" x14ac:dyDescent="0.2">
      <c r="A15" s="240"/>
      <c r="B15" s="246" t="s">
        <v>7</v>
      </c>
      <c r="C15" s="47"/>
      <c r="D15" s="247"/>
      <c r="E15" s="248"/>
      <c r="F15" s="215"/>
      <c r="G15" s="242"/>
      <c r="H15" s="216"/>
      <c r="I15" s="243"/>
      <c r="L15" s="47"/>
      <c r="M15" s="47"/>
    </row>
    <row r="16" spans="1:13" x14ac:dyDescent="0.2">
      <c r="A16" s="240"/>
      <c r="B16" s="244" t="s">
        <v>8</v>
      </c>
      <c r="C16" s="47"/>
      <c r="D16" s="247"/>
      <c r="E16" s="248"/>
      <c r="F16" s="215"/>
      <c r="G16" s="242"/>
      <c r="H16" s="216"/>
      <c r="I16" s="47"/>
    </row>
    <row r="17" spans="1:11" x14ac:dyDescent="0.2">
      <c r="A17" s="240"/>
      <c r="B17" s="244" t="s">
        <v>66</v>
      </c>
      <c r="C17" s="249"/>
      <c r="D17" s="247">
        <f>+F10+F11</f>
        <v>9100000.0020000003</v>
      </c>
      <c r="E17" s="248"/>
      <c r="F17" s="215"/>
      <c r="G17" s="250"/>
      <c r="H17" s="216"/>
      <c r="I17" s="243"/>
      <c r="J17" s="47"/>
      <c r="K17" s="243"/>
    </row>
    <row r="18" spans="1:11" x14ac:dyDescent="0.2">
      <c r="A18" s="240"/>
      <c r="B18" s="244"/>
      <c r="C18" s="249">
        <v>0.03</v>
      </c>
      <c r="D18" s="247">
        <f>+D17*C18</f>
        <v>273000.00005999999</v>
      </c>
      <c r="E18" s="248"/>
      <c r="F18" s="215"/>
      <c r="G18" s="250"/>
      <c r="H18" s="216"/>
      <c r="I18" s="243"/>
      <c r="J18" s="47"/>
      <c r="K18" s="243"/>
    </row>
    <row r="19" spans="1:11" x14ac:dyDescent="0.2">
      <c r="A19" s="240"/>
      <c r="B19" s="251" t="s">
        <v>187</v>
      </c>
      <c r="C19" s="232">
        <f>+F11</f>
        <v>1186956.5220000001</v>
      </c>
      <c r="D19" s="247">
        <f>+C19*C18*C21</f>
        <v>5341.3043490000009</v>
      </c>
      <c r="E19" s="248"/>
      <c r="F19" s="215"/>
      <c r="G19" s="206"/>
      <c r="H19" s="216"/>
      <c r="I19" s="243"/>
      <c r="J19" s="47"/>
      <c r="K19" s="243"/>
    </row>
    <row r="20" spans="1:11" ht="15" thickBot="1" x14ac:dyDescent="0.25">
      <c r="A20" s="240"/>
      <c r="B20" s="251"/>
      <c r="C20" s="232"/>
      <c r="D20" s="252">
        <f>+D18-D19</f>
        <v>267658.69571100001</v>
      </c>
      <c r="E20" s="248"/>
      <c r="F20" s="215"/>
      <c r="G20" s="250">
        <f>+D20</f>
        <v>267658.69571100001</v>
      </c>
      <c r="H20" s="216"/>
      <c r="I20" s="243">
        <f>I19*15/100</f>
        <v>0</v>
      </c>
      <c r="J20" s="47"/>
      <c r="K20" s="243"/>
    </row>
    <row r="21" spans="1:11" ht="15" thickTop="1" x14ac:dyDescent="0.2">
      <c r="A21" s="240"/>
      <c r="B21" s="251" t="s">
        <v>9</v>
      </c>
      <c r="C21" s="249">
        <v>0.15</v>
      </c>
      <c r="D21" s="247">
        <f>+G21</f>
        <v>40148.804356649998</v>
      </c>
      <c r="E21" s="248">
        <f>+G21</f>
        <v>40148.804356649998</v>
      </c>
      <c r="F21" s="215"/>
      <c r="G21" s="250">
        <f>+G20*0.15</f>
        <v>40148.804356649998</v>
      </c>
      <c r="H21" s="216"/>
      <c r="I21" s="243"/>
      <c r="J21" s="47"/>
      <c r="K21" s="243"/>
    </row>
    <row r="22" spans="1:11" x14ac:dyDescent="0.2">
      <c r="A22" s="240"/>
      <c r="B22" s="251"/>
      <c r="C22" s="249"/>
      <c r="D22" s="247"/>
      <c r="E22" s="248"/>
      <c r="F22" s="215"/>
      <c r="G22" s="250"/>
      <c r="H22" s="216"/>
      <c r="I22" s="243"/>
      <c r="J22" s="47"/>
      <c r="K22" s="243"/>
    </row>
    <row r="23" spans="1:11" x14ac:dyDescent="0.2">
      <c r="A23" s="239"/>
      <c r="B23" s="244" t="s">
        <v>10</v>
      </c>
      <c r="C23" s="47" t="s">
        <v>11</v>
      </c>
      <c r="D23" s="225">
        <f>+F215</f>
        <v>275000</v>
      </c>
      <c r="E23" s="248"/>
      <c r="F23" s="215"/>
      <c r="G23" s="242">
        <f>+F211</f>
        <v>175812.96973311875</v>
      </c>
      <c r="H23" s="216"/>
      <c r="I23" s="47"/>
      <c r="J23" s="47"/>
      <c r="K23" s="243"/>
    </row>
    <row r="24" spans="1:11" x14ac:dyDescent="0.2">
      <c r="A24" s="239"/>
      <c r="B24" s="240"/>
      <c r="C24" s="47"/>
      <c r="D24" s="253"/>
      <c r="E24" s="248"/>
      <c r="F24" s="215"/>
      <c r="G24" s="242"/>
      <c r="H24" s="216"/>
      <c r="I24" s="47"/>
      <c r="J24" s="47"/>
      <c r="K24" s="243"/>
    </row>
    <row r="25" spans="1:11" x14ac:dyDescent="0.2">
      <c r="A25" s="240"/>
      <c r="B25" s="244" t="s">
        <v>84</v>
      </c>
      <c r="C25" s="254"/>
      <c r="D25" s="255"/>
      <c r="E25" s="248"/>
      <c r="F25" s="215"/>
      <c r="G25" s="242"/>
      <c r="H25" s="216"/>
      <c r="I25" s="47"/>
      <c r="J25" s="249"/>
      <c r="K25" s="243"/>
    </row>
    <row r="26" spans="1:11" x14ac:dyDescent="0.2">
      <c r="A26" s="239" t="str">
        <f>+A234</f>
        <v>*</v>
      </c>
      <c r="B26" s="240" t="s">
        <v>91</v>
      </c>
      <c r="C26" s="256">
        <v>2021</v>
      </c>
      <c r="D26" s="257">
        <f>+G234</f>
        <v>26000</v>
      </c>
      <c r="E26" s="248"/>
      <c r="F26" s="215"/>
      <c r="G26" s="242"/>
      <c r="H26" s="216"/>
      <c r="I26" s="47"/>
      <c r="J26" s="249"/>
      <c r="K26" s="243"/>
    </row>
    <row r="27" spans="1:11" x14ac:dyDescent="0.2">
      <c r="A27" s="239" t="s">
        <v>92</v>
      </c>
      <c r="B27" s="240" t="s">
        <v>71</v>
      </c>
      <c r="C27" s="258" t="s">
        <v>90</v>
      </c>
      <c r="D27" s="259">
        <v>26000</v>
      </c>
      <c r="E27" s="248"/>
      <c r="F27" s="215"/>
      <c r="G27" s="242"/>
      <c r="H27" s="216"/>
      <c r="I27" s="260"/>
      <c r="J27" s="47"/>
      <c r="K27" s="47"/>
    </row>
    <row r="28" spans="1:11" ht="15" thickBot="1" x14ac:dyDescent="0.25">
      <c r="A28" s="240"/>
      <c r="B28" s="240" t="s">
        <v>11</v>
      </c>
      <c r="C28" s="47"/>
      <c r="D28" s="261">
        <f>SUM(D26:D27)</f>
        <v>52000</v>
      </c>
      <c r="E28" s="248"/>
      <c r="F28" s="215"/>
      <c r="G28" s="242">
        <f>+G211</f>
        <v>33244.634276807905</v>
      </c>
      <c r="H28" s="216"/>
      <c r="I28" s="47"/>
      <c r="J28" s="47"/>
      <c r="K28" s="47"/>
    </row>
    <row r="29" spans="1:11" x14ac:dyDescent="0.2">
      <c r="A29" s="239"/>
      <c r="B29" s="244" t="s">
        <v>12</v>
      </c>
      <c r="C29" s="212" t="s">
        <v>97</v>
      </c>
      <c r="D29" s="259"/>
      <c r="E29" s="248"/>
      <c r="F29" s="262"/>
      <c r="G29" s="263"/>
      <c r="H29" s="216"/>
      <c r="I29" s="232">
        <f>SUM(G15:G36)</f>
        <v>1663672.8217209268</v>
      </c>
      <c r="J29" s="47"/>
      <c r="K29" s="47"/>
    </row>
    <row r="30" spans="1:11" x14ac:dyDescent="0.2">
      <c r="A30" s="240"/>
      <c r="B30" s="264"/>
      <c r="C30" s="47"/>
      <c r="D30" s="259">
        <v>0</v>
      </c>
      <c r="E30" s="248"/>
      <c r="F30" s="262"/>
      <c r="G30" s="263">
        <v>0</v>
      </c>
      <c r="H30" s="216"/>
      <c r="I30" s="47"/>
      <c r="J30" s="47"/>
      <c r="K30" s="47"/>
    </row>
    <row r="31" spans="1:11" x14ac:dyDescent="0.2">
      <c r="A31" s="240"/>
      <c r="B31" s="251"/>
      <c r="C31" s="212" t="s">
        <v>6</v>
      </c>
      <c r="D31" s="259"/>
      <c r="E31" s="248"/>
      <c r="F31" s="262"/>
      <c r="G31" s="263"/>
      <c r="H31" s="216"/>
      <c r="I31" s="47"/>
      <c r="J31" s="47"/>
      <c r="K31" s="47"/>
    </row>
    <row r="32" spans="1:11" x14ac:dyDescent="0.2">
      <c r="A32" s="240"/>
      <c r="B32" s="251" t="s">
        <v>13</v>
      </c>
      <c r="C32" s="47"/>
      <c r="D32" s="259">
        <f>SUM(E10:E13)</f>
        <v>1186956.5220000001</v>
      </c>
      <c r="E32" s="248"/>
      <c r="F32" s="262"/>
      <c r="G32" s="263"/>
      <c r="H32" s="216"/>
      <c r="I32" s="47"/>
      <c r="J32" s="47"/>
      <c r="K32" s="47"/>
    </row>
    <row r="33" spans="1:12" x14ac:dyDescent="0.2">
      <c r="A33" s="240"/>
      <c r="B33" s="251" t="s">
        <v>14</v>
      </c>
      <c r="C33" s="47"/>
      <c r="D33" s="259">
        <f>SUM(E16:E36)</f>
        <v>40148.804356649998</v>
      </c>
      <c r="E33" s="248"/>
      <c r="F33" s="262"/>
      <c r="G33" s="263"/>
      <c r="H33" s="216"/>
      <c r="I33" s="47"/>
      <c r="J33" s="47"/>
      <c r="K33" s="47"/>
    </row>
    <row r="34" spans="1:12" ht="15" thickBot="1" x14ac:dyDescent="0.25">
      <c r="A34" s="240"/>
      <c r="B34" s="251"/>
      <c r="C34" s="47"/>
      <c r="D34" s="265">
        <f>+D32-D33</f>
        <v>1146807.7176433501</v>
      </c>
      <c r="E34" s="248"/>
      <c r="F34" s="262"/>
      <c r="G34" s="263">
        <f>+D34</f>
        <v>1146807.7176433501</v>
      </c>
      <c r="H34" s="216"/>
      <c r="I34" s="243"/>
      <c r="J34" s="232"/>
      <c r="K34" s="47"/>
    </row>
    <row r="35" spans="1:12" ht="15" thickTop="1" x14ac:dyDescent="0.2">
      <c r="A35" s="240"/>
      <c r="B35" s="240"/>
      <c r="C35" s="47"/>
      <c r="D35" s="259"/>
      <c r="E35" s="248"/>
      <c r="F35" s="262"/>
      <c r="G35" s="263"/>
      <c r="H35" s="216"/>
      <c r="I35" s="243"/>
      <c r="J35" s="232"/>
      <c r="K35" s="47"/>
    </row>
    <row r="36" spans="1:12" x14ac:dyDescent="0.2">
      <c r="A36" s="240"/>
      <c r="B36" s="240"/>
      <c r="C36" s="47"/>
      <c r="D36" s="259"/>
      <c r="E36" s="248"/>
      <c r="F36" s="215"/>
      <c r="G36" s="242"/>
      <c r="H36" s="216"/>
      <c r="I36" s="243"/>
      <c r="J36" s="232"/>
      <c r="K36" s="47"/>
    </row>
    <row r="37" spans="1:12" x14ac:dyDescent="0.2">
      <c r="A37" s="240"/>
      <c r="B37" s="244" t="s">
        <v>15</v>
      </c>
      <c r="C37" s="249"/>
      <c r="D37" s="225"/>
      <c r="E37" s="241"/>
      <c r="F37" s="215"/>
      <c r="G37" s="242"/>
      <c r="H37" s="266"/>
      <c r="I37" s="243">
        <f>SUM(G14:G36)</f>
        <v>1663672.8217209268</v>
      </c>
      <c r="J37" s="232"/>
      <c r="K37" s="47"/>
    </row>
    <row r="38" spans="1:12" x14ac:dyDescent="0.2">
      <c r="A38" s="240"/>
      <c r="B38" s="240" t="s">
        <v>152</v>
      </c>
      <c r="C38" s="249" t="s">
        <v>153</v>
      </c>
      <c r="D38" s="225">
        <v>8946765.3200000003</v>
      </c>
      <c r="E38" s="241"/>
      <c r="F38" s="215"/>
      <c r="G38" s="242"/>
      <c r="H38" s="266"/>
      <c r="I38" s="243"/>
      <c r="J38" s="232"/>
      <c r="K38" s="47"/>
    </row>
    <row r="39" spans="1:12" x14ac:dyDescent="0.2">
      <c r="A39" s="240"/>
      <c r="B39" s="240" t="s">
        <v>16</v>
      </c>
      <c r="C39" s="249"/>
      <c r="D39" s="225">
        <f>+F42-I37</f>
        <v>7436327.1802790733</v>
      </c>
      <c r="E39" s="241"/>
      <c r="F39" s="215"/>
      <c r="G39" s="242">
        <f>+F42-I29</f>
        <v>7436327.1802790733</v>
      </c>
      <c r="H39" s="266"/>
      <c r="I39" s="47"/>
      <c r="J39" s="47"/>
      <c r="K39" s="47"/>
    </row>
    <row r="40" spans="1:12" ht="15" thickBot="1" x14ac:dyDescent="0.25">
      <c r="A40" s="240"/>
      <c r="B40" s="240" t="s">
        <v>85</v>
      </c>
      <c r="C40" s="47"/>
      <c r="D40" s="252">
        <f>+D38-D39</f>
        <v>1510438.139720927</v>
      </c>
      <c r="E40" s="241"/>
      <c r="F40" s="222"/>
      <c r="G40" s="267"/>
      <c r="H40" s="266"/>
      <c r="I40" s="47"/>
      <c r="J40" s="47"/>
      <c r="K40" s="47"/>
    </row>
    <row r="41" spans="1:12" ht="15" thickTop="1" x14ac:dyDescent="0.2">
      <c r="A41" s="223"/>
      <c r="B41" s="240"/>
      <c r="C41" s="47"/>
      <c r="D41" s="247"/>
      <c r="E41" s="241"/>
      <c r="F41" s="215"/>
      <c r="G41" s="242"/>
      <c r="H41" s="266"/>
      <c r="I41" s="47"/>
      <c r="J41" s="47"/>
      <c r="K41" s="47"/>
    </row>
    <row r="42" spans="1:12" x14ac:dyDescent="0.2">
      <c r="A42" s="223"/>
      <c r="B42" s="240"/>
      <c r="C42" s="47"/>
      <c r="D42" s="247"/>
      <c r="E42" s="241"/>
      <c r="F42" s="232">
        <f>SUM(F9:F13)</f>
        <v>9100000.0020000003</v>
      </c>
      <c r="G42" s="250">
        <f>SUM(G14:G40)</f>
        <v>9100000.0020000003</v>
      </c>
      <c r="H42" s="216"/>
      <c r="I42" s="47"/>
      <c r="J42" s="47"/>
      <c r="K42" s="47"/>
    </row>
    <row r="43" spans="1:12" ht="15" thickBot="1" x14ac:dyDescent="0.25">
      <c r="A43" s="223"/>
      <c r="B43" s="240"/>
      <c r="C43" s="47"/>
      <c r="D43" s="247"/>
      <c r="E43" s="241"/>
      <c r="F43" s="268"/>
      <c r="G43" s="269"/>
      <c r="H43" s="216"/>
      <c r="I43" s="47"/>
      <c r="J43" s="47"/>
      <c r="K43" s="47"/>
    </row>
    <row r="44" spans="1:12" ht="15" thickTop="1" x14ac:dyDescent="0.2">
      <c r="A44" s="270"/>
      <c r="B44" s="271"/>
      <c r="C44" s="219"/>
      <c r="D44" s="272"/>
      <c r="E44" s="273"/>
      <c r="F44" s="222"/>
      <c r="G44" s="274"/>
      <c r="H44" s="216"/>
      <c r="I44" s="47"/>
      <c r="J44" s="47"/>
      <c r="K44" s="47"/>
    </row>
    <row r="45" spans="1:12" x14ac:dyDescent="0.2">
      <c r="A45" s="47"/>
      <c r="B45" s="47"/>
      <c r="C45" s="47"/>
      <c r="D45" s="245"/>
      <c r="E45" s="275"/>
      <c r="F45" s="215"/>
      <c r="G45" s="215"/>
      <c r="H45" s="216"/>
      <c r="I45" s="232">
        <f>SUM(G14:G36)</f>
        <v>1663672.8217209268</v>
      </c>
      <c r="J45" s="47"/>
      <c r="K45" s="47"/>
      <c r="L45" s="47"/>
    </row>
    <row r="46" spans="1:12" x14ac:dyDescent="0.2">
      <c r="A46" s="217" t="s">
        <v>1</v>
      </c>
      <c r="B46" s="218"/>
      <c r="C46" s="219"/>
      <c r="D46" s="220"/>
      <c r="E46" s="221"/>
      <c r="F46" s="222"/>
      <c r="G46" s="222"/>
      <c r="H46" s="216"/>
      <c r="I46" s="232"/>
      <c r="J46" s="47"/>
      <c r="K46" s="47"/>
      <c r="L46" s="47"/>
    </row>
    <row r="47" spans="1:12" ht="16.5" x14ac:dyDescent="0.35">
      <c r="A47" s="223"/>
      <c r="B47" s="212" t="s">
        <v>93</v>
      </c>
      <c r="C47" s="47"/>
      <c r="D47" s="47"/>
      <c r="E47" s="224"/>
      <c r="F47" s="225"/>
      <c r="G47" s="226"/>
      <c r="H47" s="216"/>
      <c r="I47" s="215"/>
      <c r="J47" s="47"/>
      <c r="K47" s="47"/>
      <c r="L47" s="47"/>
    </row>
    <row r="48" spans="1:12" ht="16.5" x14ac:dyDescent="0.35">
      <c r="A48" s="228" t="s">
        <v>4</v>
      </c>
      <c r="B48" s="229" t="s">
        <v>80</v>
      </c>
      <c r="C48" s="218"/>
      <c r="D48" s="230"/>
      <c r="E48" s="228"/>
      <c r="F48" s="231" t="s">
        <v>81</v>
      </c>
      <c r="G48" s="231" t="s">
        <v>82</v>
      </c>
      <c r="H48" s="216"/>
      <c r="I48" s="215"/>
      <c r="J48" s="47"/>
      <c r="K48" s="47"/>
      <c r="L48" s="47"/>
    </row>
    <row r="49" spans="1:12" x14ac:dyDescent="0.2">
      <c r="A49" s="233"/>
      <c r="B49" s="233"/>
      <c r="C49" s="234"/>
      <c r="D49" s="235"/>
      <c r="E49" s="236"/>
      <c r="F49" s="237"/>
      <c r="G49" s="238"/>
      <c r="H49" s="216"/>
      <c r="I49" s="215"/>
      <c r="J49" s="47"/>
      <c r="K49" s="47"/>
      <c r="L49" s="47"/>
    </row>
    <row r="50" spans="1:12" x14ac:dyDescent="0.2">
      <c r="A50" s="239">
        <v>44543</v>
      </c>
      <c r="B50" s="240" t="s">
        <v>144</v>
      </c>
      <c r="C50" s="47"/>
      <c r="D50" s="225"/>
      <c r="E50" s="241"/>
      <c r="F50" s="215">
        <v>3043478.26</v>
      </c>
      <c r="G50" s="242"/>
      <c r="H50" s="216"/>
      <c r="I50" s="215"/>
      <c r="J50" s="47"/>
      <c r="K50" s="47"/>
      <c r="L50" s="47"/>
    </row>
    <row r="51" spans="1:12" x14ac:dyDescent="0.2">
      <c r="A51" s="239"/>
      <c r="B51" s="240" t="s">
        <v>38</v>
      </c>
      <c r="C51" s="47"/>
      <c r="D51" s="225"/>
      <c r="E51" s="241">
        <f>+F51</f>
        <v>456521.73899999994</v>
      </c>
      <c r="F51" s="215">
        <f>+F50*0.15</f>
        <v>456521.73899999994</v>
      </c>
      <c r="G51" s="242"/>
      <c r="H51" s="216"/>
      <c r="I51" s="243">
        <f>+F96+F97</f>
        <v>1150000</v>
      </c>
      <c r="J51" s="47"/>
      <c r="K51" s="47"/>
      <c r="L51" s="47"/>
    </row>
    <row r="52" spans="1:12" x14ac:dyDescent="0.2">
      <c r="A52" s="244"/>
      <c r="B52" s="240" t="s">
        <v>146</v>
      </c>
      <c r="C52" s="47"/>
      <c r="D52" s="225"/>
      <c r="E52" s="215"/>
      <c r="F52" s="242"/>
      <c r="G52" s="242"/>
      <c r="H52" s="216"/>
      <c r="I52" s="243">
        <f>F50+F51</f>
        <v>3499999.9989999998</v>
      </c>
      <c r="J52" s="47"/>
      <c r="K52" s="47"/>
      <c r="L52" s="47"/>
    </row>
    <row r="53" spans="1:12" x14ac:dyDescent="0.2">
      <c r="A53" s="244"/>
      <c r="B53" s="240" t="s">
        <v>145</v>
      </c>
      <c r="C53" s="47"/>
      <c r="D53" s="225"/>
      <c r="E53" s="241"/>
      <c r="F53" s="215"/>
      <c r="G53" s="242"/>
      <c r="H53" s="216"/>
      <c r="I53" s="47"/>
      <c r="J53" s="47"/>
      <c r="K53" s="47"/>
      <c r="L53" s="47"/>
    </row>
    <row r="54" spans="1:12" x14ac:dyDescent="0.2">
      <c r="A54" s="244"/>
      <c r="B54" s="240"/>
      <c r="C54" s="47"/>
      <c r="D54" s="215"/>
      <c r="E54" s="241"/>
      <c r="F54" s="215"/>
      <c r="G54" s="242"/>
      <c r="H54" s="216"/>
      <c r="I54" s="243">
        <f>F96/1.15</f>
        <v>869565.21739130444</v>
      </c>
      <c r="J54" s="47"/>
      <c r="K54" s="47"/>
      <c r="L54" s="47"/>
    </row>
    <row r="55" spans="1:12" x14ac:dyDescent="0.2">
      <c r="A55" s="223"/>
      <c r="B55" s="47"/>
      <c r="C55" s="47"/>
      <c r="D55" s="245"/>
      <c r="E55" s="241"/>
      <c r="F55" s="215"/>
      <c r="G55" s="242"/>
      <c r="H55" s="216"/>
      <c r="I55" s="47"/>
      <c r="J55" s="47"/>
      <c r="K55" s="47"/>
      <c r="L55" s="47"/>
    </row>
    <row r="56" spans="1:12" x14ac:dyDescent="0.2">
      <c r="A56" s="240"/>
      <c r="B56" s="246" t="s">
        <v>7</v>
      </c>
      <c r="C56" s="47"/>
      <c r="D56" s="247"/>
      <c r="E56" s="248"/>
      <c r="F56" s="215"/>
      <c r="G56" s="242"/>
      <c r="H56" s="216"/>
      <c r="I56" s="47"/>
      <c r="J56" s="47"/>
      <c r="K56" s="47"/>
      <c r="L56" s="47"/>
    </row>
    <row r="57" spans="1:12" x14ac:dyDescent="0.2">
      <c r="A57" s="240"/>
      <c r="B57" s="244" t="s">
        <v>8</v>
      </c>
      <c r="C57" s="47"/>
      <c r="D57" s="247"/>
      <c r="E57" s="248"/>
      <c r="F57" s="215"/>
      <c r="G57" s="242"/>
      <c r="H57" s="216"/>
      <c r="I57" s="47"/>
      <c r="J57" s="47"/>
      <c r="K57" s="47"/>
      <c r="L57" s="47"/>
    </row>
    <row r="58" spans="1:12" x14ac:dyDescent="0.2">
      <c r="A58" s="240"/>
      <c r="B58" s="244" t="s">
        <v>66</v>
      </c>
      <c r="C58" s="249"/>
      <c r="D58" s="247">
        <f>+F50+F51</f>
        <v>3499999.9989999998</v>
      </c>
      <c r="E58" s="248"/>
      <c r="F58" s="215"/>
      <c r="G58" s="250"/>
      <c r="H58" s="216"/>
      <c r="I58" s="47"/>
      <c r="J58" s="47"/>
      <c r="K58" s="47"/>
      <c r="L58" s="47"/>
    </row>
    <row r="59" spans="1:12" x14ac:dyDescent="0.2">
      <c r="A59" s="240"/>
      <c r="B59" s="244"/>
      <c r="C59" s="249">
        <v>0.1</v>
      </c>
      <c r="D59" s="247">
        <f>+D58*C59</f>
        <v>349999.9999</v>
      </c>
      <c r="E59" s="248"/>
      <c r="F59" s="215"/>
      <c r="G59" s="250"/>
      <c r="H59" s="216"/>
      <c r="I59" s="47"/>
      <c r="J59" s="47"/>
      <c r="K59" s="47"/>
      <c r="L59" s="47"/>
    </row>
    <row r="60" spans="1:12" x14ac:dyDescent="0.2">
      <c r="A60" s="240"/>
      <c r="B60" s="251" t="s">
        <v>88</v>
      </c>
      <c r="C60" s="232">
        <f>+F51</f>
        <v>456521.73899999994</v>
      </c>
      <c r="D60" s="247">
        <f>+C60*C59*C62</f>
        <v>6847.8260849999988</v>
      </c>
      <c r="E60" s="248"/>
      <c r="F60" s="215"/>
      <c r="G60" s="206"/>
      <c r="H60" s="216"/>
      <c r="I60" s="47"/>
      <c r="J60" s="47"/>
      <c r="K60" s="47"/>
      <c r="L60" s="47"/>
    </row>
    <row r="61" spans="1:12" ht="15" thickBot="1" x14ac:dyDescent="0.25">
      <c r="A61" s="240"/>
      <c r="B61" s="251"/>
      <c r="C61" s="232"/>
      <c r="D61" s="252">
        <f>+D59-D60</f>
        <v>343152.17381499999</v>
      </c>
      <c r="E61" s="248"/>
      <c r="F61" s="215"/>
      <c r="G61" s="250">
        <f>+D61</f>
        <v>343152.17381499999</v>
      </c>
      <c r="H61" s="216"/>
      <c r="I61" s="47"/>
      <c r="J61" s="47"/>
      <c r="K61" s="47"/>
      <c r="L61" s="47"/>
    </row>
    <row r="62" spans="1:12" ht="15" thickTop="1" x14ac:dyDescent="0.2">
      <c r="A62" s="240"/>
      <c r="B62" s="251" t="s">
        <v>9</v>
      </c>
      <c r="C62" s="249">
        <v>0.15</v>
      </c>
      <c r="D62" s="247">
        <f>+G62</f>
        <v>51472.826072249998</v>
      </c>
      <c r="E62" s="248">
        <f>+G62</f>
        <v>51472.826072249998</v>
      </c>
      <c r="F62" s="215"/>
      <c r="G62" s="250">
        <f>+G61*0.15</f>
        <v>51472.826072249998</v>
      </c>
      <c r="H62" s="216"/>
      <c r="I62" s="47"/>
      <c r="L62" s="47"/>
    </row>
    <row r="63" spans="1:12" x14ac:dyDescent="0.2">
      <c r="A63" s="240"/>
      <c r="B63" s="251"/>
      <c r="C63" s="249"/>
      <c r="D63" s="247"/>
      <c r="E63" s="248"/>
      <c r="F63" s="215"/>
      <c r="G63" s="250"/>
      <c r="H63" s="216"/>
      <c r="I63" s="47"/>
      <c r="L63" s="47"/>
    </row>
    <row r="64" spans="1:12" x14ac:dyDescent="0.2">
      <c r="A64" s="240"/>
      <c r="B64" s="240"/>
      <c r="C64" s="47"/>
      <c r="D64" s="247"/>
      <c r="E64" s="248"/>
      <c r="F64" s="215"/>
      <c r="G64" s="242"/>
      <c r="H64" s="216"/>
      <c r="I64" s="47"/>
      <c r="L64" s="47"/>
    </row>
    <row r="65" spans="1:12" x14ac:dyDescent="0.2">
      <c r="A65" s="239"/>
      <c r="B65" s="244" t="s">
        <v>10</v>
      </c>
      <c r="C65" s="47" t="s">
        <v>11</v>
      </c>
      <c r="D65" s="225">
        <f>F215</f>
        <v>275000</v>
      </c>
      <c r="E65" s="248"/>
      <c r="F65" s="215"/>
      <c r="G65" s="242">
        <f>F212</f>
        <v>67620.372954956329</v>
      </c>
      <c r="H65" s="216"/>
      <c r="I65" s="47"/>
      <c r="L65" s="47"/>
    </row>
    <row r="66" spans="1:12" x14ac:dyDescent="0.2">
      <c r="A66" s="239"/>
      <c r="B66" s="240"/>
      <c r="C66" s="47"/>
      <c r="D66" s="253"/>
      <c r="E66" s="248"/>
      <c r="F66" s="215"/>
      <c r="G66" s="276"/>
      <c r="H66" s="216"/>
      <c r="I66" s="47"/>
      <c r="L66" s="47"/>
    </row>
    <row r="67" spans="1:12" x14ac:dyDescent="0.2">
      <c r="A67" s="240"/>
      <c r="B67" s="244" t="s">
        <v>84</v>
      </c>
      <c r="C67" s="254"/>
      <c r="D67" s="277"/>
      <c r="E67" s="248"/>
      <c r="F67" s="215"/>
      <c r="G67" s="276"/>
      <c r="H67" s="216"/>
      <c r="I67" s="47"/>
      <c r="L67" s="47"/>
    </row>
    <row r="68" spans="1:12" ht="15" thickBot="1" x14ac:dyDescent="0.25">
      <c r="A68" s="240"/>
      <c r="B68" s="240" t="s">
        <v>178</v>
      </c>
      <c r="C68" s="47">
        <v>2022</v>
      </c>
      <c r="D68" s="261">
        <f>G215</f>
        <v>52000</v>
      </c>
      <c r="E68" s="248"/>
      <c r="F68" s="215"/>
      <c r="G68" s="242">
        <f>G212</f>
        <v>12786.397795119015</v>
      </c>
      <c r="H68" s="216"/>
      <c r="I68" s="47"/>
      <c r="L68" s="47"/>
    </row>
    <row r="69" spans="1:12" x14ac:dyDescent="0.2">
      <c r="A69" s="240"/>
      <c r="B69" s="240"/>
      <c r="C69" s="47"/>
      <c r="D69" s="278"/>
      <c r="E69" s="248"/>
      <c r="F69" s="215"/>
      <c r="G69" s="242"/>
      <c r="H69" s="216"/>
      <c r="I69" s="47"/>
      <c r="J69" s="207">
        <f>D33+D78+D122+D172</f>
        <v>124504.2389669</v>
      </c>
      <c r="L69" s="47"/>
    </row>
    <row r="70" spans="1:12" x14ac:dyDescent="0.2">
      <c r="A70" s="240"/>
      <c r="B70" s="244" t="s">
        <v>103</v>
      </c>
      <c r="C70" s="279"/>
      <c r="D70" s="280"/>
      <c r="E70" s="281"/>
      <c r="F70" s="282"/>
      <c r="G70" s="276"/>
      <c r="H70" s="216"/>
      <c r="I70" s="47"/>
    </row>
    <row r="71" spans="1:12" x14ac:dyDescent="0.2">
      <c r="A71" s="240"/>
      <c r="B71" s="240" t="s">
        <v>188</v>
      </c>
      <c r="C71" s="279"/>
      <c r="D71" s="280"/>
      <c r="E71" s="281"/>
      <c r="F71" s="282"/>
      <c r="G71" s="242">
        <v>28316.01</v>
      </c>
      <c r="H71" s="216"/>
      <c r="I71" s="243"/>
    </row>
    <row r="72" spans="1:12" x14ac:dyDescent="0.2">
      <c r="A72" s="240"/>
      <c r="B72" s="240" t="s">
        <v>6</v>
      </c>
      <c r="C72" s="283">
        <v>0.15</v>
      </c>
      <c r="D72" s="280"/>
      <c r="E72" s="248">
        <f>G71*15/100</f>
        <v>4247.4014999999999</v>
      </c>
      <c r="F72" s="282"/>
      <c r="G72" s="242"/>
      <c r="H72" s="216"/>
      <c r="I72" s="232"/>
    </row>
    <row r="73" spans="1:12" x14ac:dyDescent="0.2">
      <c r="A73" s="240"/>
      <c r="B73" s="284"/>
      <c r="C73" s="285"/>
      <c r="D73" s="280"/>
      <c r="E73" s="281"/>
      <c r="F73" s="282"/>
      <c r="G73" s="276"/>
      <c r="H73" s="216"/>
      <c r="I73" s="232"/>
    </row>
    <row r="74" spans="1:12" ht="15" x14ac:dyDescent="0.25">
      <c r="A74" s="239"/>
      <c r="B74" s="286" t="s">
        <v>12</v>
      </c>
      <c r="C74" s="212" t="s">
        <v>97</v>
      </c>
      <c r="D74" s="259"/>
      <c r="E74" s="248"/>
      <c r="F74" s="262"/>
      <c r="G74" s="263"/>
      <c r="H74" s="216"/>
      <c r="I74" s="47"/>
    </row>
    <row r="75" spans="1:12" x14ac:dyDescent="0.2">
      <c r="A75" s="240"/>
      <c r="B75" s="264"/>
      <c r="C75" s="47"/>
      <c r="D75" s="259">
        <f>+F167</f>
        <v>0</v>
      </c>
      <c r="E75" s="248"/>
      <c r="F75" s="262"/>
      <c r="G75" s="263">
        <f>+F165</f>
        <v>0</v>
      </c>
      <c r="H75" s="216"/>
      <c r="I75" s="47"/>
    </row>
    <row r="76" spans="1:12" x14ac:dyDescent="0.2">
      <c r="A76" s="240"/>
      <c r="B76" s="251"/>
      <c r="C76" s="212" t="s">
        <v>6</v>
      </c>
      <c r="D76" s="259"/>
      <c r="E76" s="248"/>
      <c r="F76" s="262"/>
      <c r="G76" s="263"/>
      <c r="H76" s="216"/>
      <c r="I76" s="243"/>
    </row>
    <row r="77" spans="1:12" x14ac:dyDescent="0.2">
      <c r="A77" s="240"/>
      <c r="B77" s="251" t="s">
        <v>13</v>
      </c>
      <c r="C77" s="47"/>
      <c r="D77" s="259">
        <f>SUM(E50:E54)</f>
        <v>456521.73899999994</v>
      </c>
      <c r="E77" s="248"/>
      <c r="F77" s="262"/>
      <c r="G77" s="263"/>
      <c r="H77" s="216"/>
      <c r="I77" s="243"/>
    </row>
    <row r="78" spans="1:12" x14ac:dyDescent="0.2">
      <c r="A78" s="240"/>
      <c r="B78" s="251" t="s">
        <v>14</v>
      </c>
      <c r="C78" s="47"/>
      <c r="D78" s="259">
        <f>E62+E72</f>
        <v>55720.227572249998</v>
      </c>
      <c r="E78" s="248"/>
      <c r="F78" s="262"/>
      <c r="G78" s="263"/>
      <c r="H78" s="216"/>
      <c r="I78" s="243"/>
    </row>
    <row r="79" spans="1:12" ht="15" thickBot="1" x14ac:dyDescent="0.25">
      <c r="A79" s="240"/>
      <c r="B79" s="251"/>
      <c r="C79" s="47"/>
      <c r="D79" s="265">
        <f>+D77-D78</f>
        <v>400801.51142774994</v>
      </c>
      <c r="E79" s="248"/>
      <c r="F79" s="262"/>
      <c r="G79" s="287">
        <f>+D79</f>
        <v>400801.51142774994</v>
      </c>
      <c r="H79" s="216"/>
      <c r="I79" s="47"/>
      <c r="K79" s="207">
        <f>F88-G88</f>
        <v>-3.0650757253170013E-3</v>
      </c>
    </row>
    <row r="80" spans="1:12" ht="15" thickTop="1" x14ac:dyDescent="0.2">
      <c r="A80" s="240"/>
      <c r="B80" s="240"/>
      <c r="C80" s="47"/>
      <c r="D80" s="259"/>
      <c r="E80" s="248"/>
      <c r="F80" s="215"/>
      <c r="G80" s="242">
        <f>SUM(G50:G79)</f>
        <v>904149.29206507537</v>
      </c>
      <c r="H80" s="216"/>
      <c r="I80" s="232">
        <f>SUM(G100:G125)</f>
        <v>323711.45034380979</v>
      </c>
    </row>
    <row r="81" spans="1:11" x14ac:dyDescent="0.2">
      <c r="A81" s="240"/>
      <c r="B81" s="244" t="s">
        <v>15</v>
      </c>
      <c r="C81" s="288"/>
      <c r="D81" s="289"/>
      <c r="E81" s="241"/>
      <c r="F81" s="215"/>
      <c r="G81" s="242"/>
      <c r="H81" s="266"/>
      <c r="I81" s="47"/>
      <c r="K81" s="207">
        <f>F88-G80</f>
        <v>2595850.7069349242</v>
      </c>
    </row>
    <row r="82" spans="1:11" x14ac:dyDescent="0.2">
      <c r="A82" s="240"/>
      <c r="B82" s="240" t="s">
        <v>160</v>
      </c>
      <c r="C82" s="290"/>
      <c r="D82" s="225">
        <v>3203046.89</v>
      </c>
      <c r="E82" s="241"/>
      <c r="F82" s="215"/>
      <c r="G82" s="242"/>
      <c r="H82" s="266"/>
      <c r="I82" s="47"/>
    </row>
    <row r="83" spans="1:11" x14ac:dyDescent="0.2">
      <c r="A83" s="240"/>
      <c r="B83" s="240" t="s">
        <v>177</v>
      </c>
      <c r="C83" s="290"/>
      <c r="D83" s="291">
        <v>260631.58</v>
      </c>
      <c r="E83" s="241"/>
      <c r="F83" s="215"/>
      <c r="G83" s="242"/>
      <c r="H83" s="266"/>
      <c r="I83" s="47"/>
    </row>
    <row r="84" spans="1:11" x14ac:dyDescent="0.2">
      <c r="A84" s="240"/>
      <c r="B84" s="240" t="s">
        <v>50</v>
      </c>
      <c r="C84" s="290"/>
      <c r="D84" s="225">
        <f>D82+D83</f>
        <v>3463678.47</v>
      </c>
      <c r="E84" s="241"/>
      <c r="F84" s="215"/>
      <c r="G84" s="242"/>
      <c r="H84" s="266"/>
      <c r="I84" s="47"/>
    </row>
    <row r="85" spans="1:11" x14ac:dyDescent="0.2">
      <c r="A85" s="240"/>
      <c r="B85" s="240" t="s">
        <v>16</v>
      </c>
      <c r="C85" s="288"/>
      <c r="D85" s="225">
        <f>G85</f>
        <v>2595850.71</v>
      </c>
      <c r="E85" s="241"/>
      <c r="F85" s="215"/>
      <c r="G85" s="242">
        <v>2595850.71</v>
      </c>
      <c r="H85" s="266"/>
      <c r="I85" s="47"/>
      <c r="J85" s="208">
        <f>+D215-150000</f>
        <v>14083875.941</v>
      </c>
    </row>
    <row r="86" spans="1:11" ht="15" thickBot="1" x14ac:dyDescent="0.25">
      <c r="A86" s="240"/>
      <c r="B86" s="240" t="s">
        <v>85</v>
      </c>
      <c r="C86" s="279"/>
      <c r="D86" s="252">
        <f>D84-D85</f>
        <v>867827.76000000024</v>
      </c>
      <c r="E86" s="241"/>
      <c r="F86" s="222"/>
      <c r="G86" s="267"/>
      <c r="H86" s="266"/>
      <c r="I86" s="47"/>
      <c r="J86" s="192">
        <f>+J85/5000</f>
        <v>2816.7751881999998</v>
      </c>
    </row>
    <row r="87" spans="1:11" ht="15" thickTop="1" x14ac:dyDescent="0.2">
      <c r="A87" s="223"/>
      <c r="B87" s="240"/>
      <c r="C87" s="47"/>
      <c r="D87" s="247"/>
      <c r="E87" s="241"/>
      <c r="F87" s="215"/>
      <c r="G87" s="242"/>
      <c r="H87" s="266"/>
      <c r="I87" s="47"/>
      <c r="J87" s="192">
        <f>+(102*275)+1000</f>
        <v>29050</v>
      </c>
    </row>
    <row r="88" spans="1:11" x14ac:dyDescent="0.2">
      <c r="A88" s="223"/>
      <c r="B88" s="240"/>
      <c r="C88" s="47"/>
      <c r="D88" s="247"/>
      <c r="E88" s="241"/>
      <c r="F88" s="232">
        <f>SUM(F49:F54)</f>
        <v>3499999.9989999998</v>
      </c>
      <c r="G88" s="250">
        <f>G80+G85</f>
        <v>3500000.0020650756</v>
      </c>
      <c r="H88" s="216"/>
      <c r="I88" s="243">
        <f>F88-G88</f>
        <v>-3.0650757253170013E-3</v>
      </c>
    </row>
    <row r="89" spans="1:11" ht="15" thickBot="1" x14ac:dyDescent="0.25">
      <c r="A89" s="223"/>
      <c r="B89" s="240"/>
      <c r="C89" s="47"/>
      <c r="D89" s="247"/>
      <c r="E89" s="241"/>
      <c r="F89" s="268"/>
      <c r="G89" s="269"/>
      <c r="H89" s="216"/>
      <c r="I89" s="47"/>
    </row>
    <row r="90" spans="1:11" ht="15" thickTop="1" x14ac:dyDescent="0.2">
      <c r="A90" s="270"/>
      <c r="B90" s="271"/>
      <c r="C90" s="219"/>
      <c r="D90" s="272"/>
      <c r="E90" s="273"/>
      <c r="F90" s="222"/>
      <c r="G90" s="274"/>
      <c r="H90" s="216"/>
      <c r="I90" s="232"/>
    </row>
    <row r="91" spans="1:11" x14ac:dyDescent="0.2">
      <c r="A91" s="223"/>
      <c r="B91" s="47"/>
      <c r="C91" s="47"/>
      <c r="D91" s="245"/>
      <c r="E91" s="241"/>
      <c r="F91" s="215"/>
      <c r="G91" s="225"/>
      <c r="H91" s="216"/>
      <c r="I91" s="232"/>
    </row>
    <row r="92" spans="1:11" x14ac:dyDescent="0.2">
      <c r="A92" s="223"/>
      <c r="B92" s="47"/>
      <c r="C92" s="47"/>
      <c r="D92" s="245"/>
      <c r="E92" s="241"/>
      <c r="F92" s="215"/>
      <c r="G92" s="225"/>
      <c r="H92" s="216"/>
      <c r="I92" s="232"/>
    </row>
    <row r="93" spans="1:11" ht="16.5" x14ac:dyDescent="0.35">
      <c r="A93" s="223"/>
      <c r="B93" s="212" t="s">
        <v>150</v>
      </c>
      <c r="C93" s="47"/>
      <c r="D93" s="47"/>
      <c r="E93" s="224"/>
      <c r="F93" s="225"/>
      <c r="G93" s="226"/>
      <c r="H93" s="216"/>
      <c r="I93" s="47"/>
    </row>
    <row r="94" spans="1:11" ht="16.5" x14ac:dyDescent="0.35">
      <c r="A94" s="228" t="s">
        <v>4</v>
      </c>
      <c r="B94" s="229" t="s">
        <v>80</v>
      </c>
      <c r="C94" s="218"/>
      <c r="D94" s="230"/>
      <c r="E94" s="228"/>
      <c r="F94" s="231" t="s">
        <v>81</v>
      </c>
      <c r="G94" s="231" t="s">
        <v>82</v>
      </c>
      <c r="H94" s="216"/>
      <c r="I94" s="47"/>
    </row>
    <row r="95" spans="1:11" x14ac:dyDescent="0.2">
      <c r="A95" s="233"/>
      <c r="B95" s="233"/>
      <c r="C95" s="234"/>
      <c r="D95" s="235"/>
      <c r="E95" s="236"/>
      <c r="F95" s="237"/>
      <c r="G95" s="238"/>
      <c r="H95" s="216"/>
      <c r="I95" s="47"/>
    </row>
    <row r="96" spans="1:11" x14ac:dyDescent="0.2">
      <c r="A96" s="239">
        <v>44543</v>
      </c>
      <c r="B96" s="240" t="s">
        <v>151</v>
      </c>
      <c r="C96" s="47"/>
      <c r="D96" s="225"/>
      <c r="E96" s="241"/>
      <c r="F96" s="215">
        <v>1000000</v>
      </c>
      <c r="G96" s="242"/>
      <c r="H96" s="216"/>
      <c r="I96" s="243"/>
    </row>
    <row r="97" spans="1:9" x14ac:dyDescent="0.2">
      <c r="A97" s="239"/>
      <c r="B97" s="240" t="s">
        <v>38</v>
      </c>
      <c r="C97" s="47"/>
      <c r="D97" s="225"/>
      <c r="E97" s="241">
        <f>+F97</f>
        <v>150000</v>
      </c>
      <c r="F97" s="215">
        <f>+F96*0.15</f>
        <v>150000</v>
      </c>
      <c r="G97" s="242"/>
      <c r="H97" s="216"/>
      <c r="I97" s="47"/>
    </row>
    <row r="98" spans="1:9" x14ac:dyDescent="0.2">
      <c r="A98" s="244"/>
      <c r="B98" s="240" t="s">
        <v>146</v>
      </c>
      <c r="C98" s="47"/>
      <c r="D98" s="225"/>
      <c r="E98" s="215"/>
      <c r="F98" s="215"/>
      <c r="G98" s="242"/>
      <c r="H98" s="216"/>
      <c r="I98" s="47"/>
    </row>
    <row r="99" spans="1:9" x14ac:dyDescent="0.2">
      <c r="A99" s="244"/>
      <c r="B99" s="240" t="s">
        <v>145</v>
      </c>
      <c r="C99" s="47"/>
      <c r="D99" s="225"/>
      <c r="E99" s="241"/>
      <c r="F99" s="215"/>
      <c r="G99" s="242"/>
      <c r="H99" s="216"/>
      <c r="I99" s="47"/>
    </row>
    <row r="100" spans="1:9" x14ac:dyDescent="0.2">
      <c r="A100" s="223"/>
      <c r="B100" s="47"/>
      <c r="C100" s="47"/>
      <c r="D100" s="245"/>
      <c r="E100" s="241"/>
      <c r="F100" s="215"/>
      <c r="G100" s="242"/>
      <c r="H100" s="216"/>
      <c r="I100" s="47"/>
    </row>
    <row r="101" spans="1:9" x14ac:dyDescent="0.2">
      <c r="A101" s="240"/>
      <c r="B101" s="246" t="s">
        <v>7</v>
      </c>
      <c r="C101" s="47"/>
      <c r="D101" s="247"/>
      <c r="E101" s="248"/>
      <c r="F101" s="215"/>
      <c r="G101" s="242"/>
      <c r="H101" s="216"/>
      <c r="I101" s="47"/>
    </row>
    <row r="102" spans="1:9" x14ac:dyDescent="0.2">
      <c r="A102" s="240"/>
      <c r="B102" s="244" t="s">
        <v>8</v>
      </c>
      <c r="C102" s="47"/>
      <c r="D102" s="247"/>
      <c r="E102" s="248"/>
      <c r="F102" s="215"/>
      <c r="G102" s="242"/>
      <c r="H102" s="216"/>
      <c r="I102" s="47"/>
    </row>
    <row r="103" spans="1:9" x14ac:dyDescent="0.2">
      <c r="A103" s="240"/>
      <c r="B103" s="244" t="s">
        <v>66</v>
      </c>
      <c r="C103" s="249"/>
      <c r="D103" s="247">
        <f>+F96+F97</f>
        <v>1150000</v>
      </c>
      <c r="E103" s="248"/>
      <c r="F103" s="215"/>
      <c r="G103" s="250"/>
      <c r="H103" s="216"/>
      <c r="I103" s="47"/>
    </row>
    <row r="104" spans="1:9" x14ac:dyDescent="0.2">
      <c r="A104" s="240"/>
      <c r="B104" s="244"/>
      <c r="C104" s="249">
        <v>0.1</v>
      </c>
      <c r="D104" s="247">
        <f>+D103*C104</f>
        <v>115000</v>
      </c>
      <c r="E104" s="248"/>
      <c r="F104" s="215"/>
      <c r="G104" s="250"/>
      <c r="H104" s="216"/>
      <c r="I104" s="47"/>
    </row>
    <row r="105" spans="1:9" x14ac:dyDescent="0.2">
      <c r="A105" s="240"/>
      <c r="B105" s="251" t="s">
        <v>88</v>
      </c>
      <c r="C105" s="232">
        <f>+F97</f>
        <v>150000</v>
      </c>
      <c r="D105" s="247">
        <f>+C105*C104*C107</f>
        <v>2250</v>
      </c>
      <c r="E105" s="248"/>
      <c r="F105" s="215"/>
      <c r="G105" s="206"/>
      <c r="H105" s="216"/>
      <c r="I105" s="47"/>
    </row>
    <row r="106" spans="1:9" ht="15" thickBot="1" x14ac:dyDescent="0.25">
      <c r="A106" s="240"/>
      <c r="B106" s="251"/>
      <c r="C106" s="232"/>
      <c r="D106" s="252">
        <f>+D104-D105</f>
        <v>112750</v>
      </c>
      <c r="E106" s="248"/>
      <c r="F106" s="215"/>
      <c r="G106" s="250">
        <f>+D106</f>
        <v>112750</v>
      </c>
      <c r="H106" s="216"/>
      <c r="I106" s="47"/>
    </row>
    <row r="107" spans="1:9" ht="15" thickTop="1" x14ac:dyDescent="0.2">
      <c r="A107" s="240"/>
      <c r="B107" s="251" t="s">
        <v>9</v>
      </c>
      <c r="C107" s="249">
        <v>0.15</v>
      </c>
      <c r="D107" s="247">
        <f>+G107</f>
        <v>16912.5</v>
      </c>
      <c r="E107" s="248">
        <f>+G107</f>
        <v>16912.5</v>
      </c>
      <c r="F107" s="215"/>
      <c r="G107" s="250">
        <f>+G106*0.15</f>
        <v>16912.5</v>
      </c>
      <c r="H107" s="216"/>
      <c r="I107" s="47"/>
    </row>
    <row r="108" spans="1:9" x14ac:dyDescent="0.2">
      <c r="A108" s="240"/>
      <c r="B108" s="251"/>
      <c r="C108" s="249"/>
      <c r="D108" s="247"/>
      <c r="E108" s="248"/>
      <c r="F108" s="215"/>
      <c r="G108" s="250"/>
      <c r="H108" s="216"/>
      <c r="I108" s="47"/>
    </row>
    <row r="109" spans="1:9" x14ac:dyDescent="0.2">
      <c r="A109" s="240"/>
      <c r="B109" s="240"/>
      <c r="C109" s="47"/>
      <c r="D109" s="247"/>
      <c r="E109" s="248"/>
      <c r="F109" s="215"/>
      <c r="G109" s="242"/>
      <c r="H109" s="216"/>
      <c r="I109" s="47"/>
    </row>
    <row r="110" spans="1:9" x14ac:dyDescent="0.2">
      <c r="A110" s="239"/>
      <c r="B110" s="244" t="s">
        <v>10</v>
      </c>
      <c r="C110" s="47" t="s">
        <v>11</v>
      </c>
      <c r="D110" s="225">
        <f>+F215</f>
        <v>275000</v>
      </c>
      <c r="E110" s="248"/>
      <c r="F110" s="215"/>
      <c r="G110" s="242">
        <f>F213</f>
        <v>22218.12254869083</v>
      </c>
      <c r="H110" s="216"/>
      <c r="I110" s="215"/>
    </row>
    <row r="111" spans="1:9" x14ac:dyDescent="0.2">
      <c r="A111" s="239"/>
      <c r="B111" s="240"/>
      <c r="C111" s="47"/>
      <c r="D111" s="253"/>
      <c r="E111" s="248"/>
      <c r="F111" s="215"/>
      <c r="G111" s="242"/>
      <c r="H111" s="216"/>
      <c r="I111" s="215"/>
    </row>
    <row r="112" spans="1:9" x14ac:dyDescent="0.2">
      <c r="A112" s="240"/>
      <c r="B112" s="244" t="s">
        <v>84</v>
      </c>
      <c r="C112" s="254"/>
      <c r="D112" s="277"/>
      <c r="E112" s="292"/>
      <c r="F112" s="215"/>
      <c r="G112" s="242"/>
      <c r="H112" s="216"/>
      <c r="I112" s="215"/>
    </row>
    <row r="113" spans="1:9" ht="15" thickBot="1" x14ac:dyDescent="0.25">
      <c r="A113" s="240"/>
      <c r="B113" s="240" t="s">
        <v>11</v>
      </c>
      <c r="C113" s="47"/>
      <c r="D113" s="261">
        <f>+D28</f>
        <v>52000</v>
      </c>
      <c r="E113" s="248"/>
      <c r="F113" s="215"/>
      <c r="G113" s="242">
        <f>+G212</f>
        <v>12786.397795119015</v>
      </c>
      <c r="H113" s="216"/>
      <c r="I113" s="215"/>
    </row>
    <row r="114" spans="1:9" x14ac:dyDescent="0.2">
      <c r="A114" s="240"/>
      <c r="B114" s="240"/>
      <c r="C114" s="47"/>
      <c r="D114" s="278"/>
      <c r="E114" s="248"/>
      <c r="F114" s="215"/>
      <c r="G114" s="242"/>
      <c r="H114" s="216"/>
      <c r="I114" s="215"/>
    </row>
    <row r="115" spans="1:9" x14ac:dyDescent="0.2">
      <c r="A115" s="240"/>
      <c r="B115" s="244" t="s">
        <v>103</v>
      </c>
      <c r="C115" s="47"/>
      <c r="D115" s="278"/>
      <c r="E115" s="248"/>
      <c r="F115" s="215"/>
      <c r="G115" s="242"/>
      <c r="H115" s="216"/>
      <c r="I115" s="215"/>
    </row>
    <row r="116" spans="1:9" x14ac:dyDescent="0.2">
      <c r="A116" s="240"/>
      <c r="B116" s="240" t="s">
        <v>94</v>
      </c>
      <c r="C116" s="47"/>
      <c r="D116" s="278"/>
      <c r="E116" s="248"/>
      <c r="F116" s="215"/>
      <c r="G116" s="242">
        <v>30537.56</v>
      </c>
      <c r="H116" s="216"/>
      <c r="I116" s="232"/>
    </row>
    <row r="117" spans="1:9" x14ac:dyDescent="0.2">
      <c r="A117" s="240"/>
      <c r="B117" s="240" t="s">
        <v>6</v>
      </c>
      <c r="C117" s="283">
        <v>0.15</v>
      </c>
      <c r="D117" s="278"/>
      <c r="E117" s="248">
        <v>4580.63</v>
      </c>
      <c r="F117" s="215"/>
      <c r="G117" s="242"/>
      <c r="H117" s="216"/>
      <c r="I117" s="232"/>
    </row>
    <row r="118" spans="1:9" ht="15" x14ac:dyDescent="0.25">
      <c r="A118" s="239"/>
      <c r="B118" s="286" t="s">
        <v>12</v>
      </c>
      <c r="C118" s="212" t="s">
        <v>97</v>
      </c>
      <c r="D118" s="259"/>
      <c r="E118" s="248"/>
      <c r="F118" s="262"/>
      <c r="G118" s="263"/>
      <c r="H118" s="216"/>
      <c r="I118" s="232"/>
    </row>
    <row r="119" spans="1:9" x14ac:dyDescent="0.2">
      <c r="A119" s="240"/>
      <c r="B119" s="264"/>
      <c r="C119" s="47"/>
      <c r="D119" s="259">
        <v>0</v>
      </c>
      <c r="E119" s="248"/>
      <c r="F119" s="262"/>
      <c r="G119" s="263">
        <v>0</v>
      </c>
      <c r="H119" s="216"/>
      <c r="I119" s="47"/>
    </row>
    <row r="120" spans="1:9" x14ac:dyDescent="0.2">
      <c r="A120" s="240"/>
      <c r="B120" s="251"/>
      <c r="C120" s="212" t="s">
        <v>6</v>
      </c>
      <c r="D120" s="259"/>
      <c r="E120" s="248"/>
      <c r="F120" s="262"/>
      <c r="G120" s="263"/>
      <c r="H120" s="216"/>
      <c r="I120" s="47"/>
    </row>
    <row r="121" spans="1:9" x14ac:dyDescent="0.2">
      <c r="A121" s="240"/>
      <c r="B121" s="251" t="s">
        <v>13</v>
      </c>
      <c r="C121" s="47"/>
      <c r="D121" s="259">
        <f>SUM(E96:E99)</f>
        <v>150000</v>
      </c>
      <c r="E121" s="248"/>
      <c r="F121" s="262"/>
      <c r="G121" s="263"/>
      <c r="H121" s="216"/>
      <c r="I121" s="47"/>
    </row>
    <row r="122" spans="1:9" x14ac:dyDescent="0.2">
      <c r="A122" s="240"/>
      <c r="B122" s="251" t="s">
        <v>14</v>
      </c>
      <c r="C122" s="47"/>
      <c r="D122" s="259">
        <f>E107+E117</f>
        <v>21493.13</v>
      </c>
      <c r="E122" s="248"/>
      <c r="F122" s="262"/>
      <c r="G122" s="263"/>
      <c r="H122" s="216"/>
      <c r="I122" s="47"/>
    </row>
    <row r="123" spans="1:9" ht="15" thickBot="1" x14ac:dyDescent="0.25">
      <c r="A123" s="240"/>
      <c r="B123" s="251"/>
      <c r="C123" s="47"/>
      <c r="D123" s="265">
        <f>+D121-D122</f>
        <v>128506.87</v>
      </c>
      <c r="E123" s="248"/>
      <c r="F123" s="262"/>
      <c r="G123" s="263">
        <f>+D123</f>
        <v>128506.87</v>
      </c>
      <c r="H123" s="216"/>
      <c r="I123" s="47"/>
    </row>
    <row r="124" spans="1:9" ht="15" thickTop="1" x14ac:dyDescent="0.2">
      <c r="A124" s="240"/>
      <c r="B124" s="240"/>
      <c r="C124" s="47"/>
      <c r="D124" s="259"/>
      <c r="E124" s="248"/>
      <c r="F124" s="215"/>
      <c r="G124" s="242"/>
      <c r="H124" s="216"/>
      <c r="I124" s="232">
        <f>+D259*0.15</f>
        <v>115676.2074669</v>
      </c>
    </row>
    <row r="125" spans="1:9" x14ac:dyDescent="0.2">
      <c r="A125" s="240"/>
      <c r="B125" s="244" t="s">
        <v>15</v>
      </c>
      <c r="C125" s="249"/>
      <c r="D125" s="225"/>
      <c r="E125" s="241"/>
      <c r="F125" s="215"/>
      <c r="G125" s="242"/>
      <c r="H125" s="245"/>
      <c r="I125" s="260"/>
    </row>
    <row r="126" spans="1:9" x14ac:dyDescent="0.2">
      <c r="A126" s="240"/>
      <c r="B126" s="240" t="s">
        <v>161</v>
      </c>
      <c r="C126" s="232"/>
      <c r="D126" s="225">
        <v>1261052.55</v>
      </c>
      <c r="E126" s="241"/>
      <c r="F126" s="215"/>
      <c r="G126" s="242"/>
      <c r="H126" s="245"/>
    </row>
    <row r="127" spans="1:9" x14ac:dyDescent="0.2">
      <c r="A127" s="240"/>
      <c r="B127" s="240" t="s">
        <v>16</v>
      </c>
      <c r="C127" s="249"/>
      <c r="D127" s="225">
        <f>+F130-I80</f>
        <v>826288.54965619021</v>
      </c>
      <c r="E127" s="241"/>
      <c r="F127" s="215"/>
      <c r="G127" s="242">
        <f>+D127</f>
        <v>826288.54965619021</v>
      </c>
      <c r="H127" s="245"/>
    </row>
    <row r="128" spans="1:9" ht="15" thickBot="1" x14ac:dyDescent="0.25">
      <c r="A128" s="240"/>
      <c r="B128" s="240" t="s">
        <v>85</v>
      </c>
      <c r="C128" s="47"/>
      <c r="D128" s="252">
        <f>+D126-D127</f>
        <v>434764.00034380984</v>
      </c>
      <c r="E128" s="241"/>
      <c r="F128" s="222"/>
      <c r="G128" s="267"/>
      <c r="H128" s="216"/>
      <c r="I128" s="207">
        <f>+G180+G183+G185</f>
        <v>116919.316620282</v>
      </c>
    </row>
    <row r="129" spans="1:9" ht="15" thickTop="1" x14ac:dyDescent="0.2">
      <c r="A129" s="223"/>
      <c r="B129" s="240"/>
      <c r="C129" s="47"/>
      <c r="D129" s="247"/>
      <c r="E129" s="241"/>
      <c r="F129" s="215"/>
      <c r="G129" s="242"/>
      <c r="H129" s="216"/>
    </row>
    <row r="130" spans="1:9" x14ac:dyDescent="0.2">
      <c r="A130" s="223"/>
      <c r="B130" s="240"/>
      <c r="C130" s="47"/>
      <c r="D130" s="247"/>
      <c r="E130" s="241"/>
      <c r="F130" s="232">
        <f>SUM(F95:F99)</f>
        <v>1150000</v>
      </c>
      <c r="G130" s="250">
        <f>SUM(G100:G128)</f>
        <v>1150000</v>
      </c>
      <c r="H130" s="216"/>
    </row>
    <row r="131" spans="1:9" ht="15" thickBot="1" x14ac:dyDescent="0.25">
      <c r="A131" s="223"/>
      <c r="B131" s="240"/>
      <c r="C131" s="47"/>
      <c r="D131" s="247"/>
      <c r="E131" s="241"/>
      <c r="F131" s="268"/>
      <c r="G131" s="269"/>
      <c r="H131" s="216"/>
    </row>
    <row r="132" spans="1:9" ht="15" thickTop="1" x14ac:dyDescent="0.2">
      <c r="A132" s="270"/>
      <c r="B132" s="271"/>
      <c r="C132" s="219"/>
      <c r="D132" s="272"/>
      <c r="E132" s="273"/>
      <c r="F132" s="222"/>
      <c r="G132" s="274"/>
      <c r="H132" s="216"/>
    </row>
    <row r="133" spans="1:9" x14ac:dyDescent="0.2">
      <c r="A133" s="47"/>
      <c r="B133" s="47"/>
      <c r="C133" s="47"/>
      <c r="D133" s="245"/>
      <c r="E133" s="275"/>
      <c r="F133" s="215"/>
      <c r="G133" s="215"/>
      <c r="H133" s="216"/>
      <c r="I133" s="208">
        <f>SUM(G156:G185)</f>
        <v>229787.353240564</v>
      </c>
    </row>
    <row r="134" spans="1:9" x14ac:dyDescent="0.2">
      <c r="A134" s="47"/>
      <c r="B134" s="47"/>
      <c r="C134" s="47"/>
      <c r="D134" s="216"/>
      <c r="E134" s="47"/>
      <c r="F134" s="215"/>
      <c r="G134" s="215"/>
      <c r="H134" s="216"/>
    </row>
    <row r="135" spans="1:9" x14ac:dyDescent="0.2">
      <c r="A135" s="293"/>
      <c r="B135" s="234" t="s">
        <v>17</v>
      </c>
      <c r="C135" s="294"/>
      <c r="D135" s="237"/>
      <c r="E135" s="295"/>
      <c r="F135" s="237"/>
      <c r="G135" s="296"/>
      <c r="H135" s="216"/>
    </row>
    <row r="136" spans="1:9" x14ac:dyDescent="0.2">
      <c r="A136" s="297" t="s">
        <v>1</v>
      </c>
      <c r="B136" s="219"/>
      <c r="C136" s="219"/>
      <c r="D136" s="222"/>
      <c r="E136" s="221"/>
      <c r="F136" s="222"/>
      <c r="G136" s="291"/>
      <c r="H136" s="216"/>
      <c r="I136" s="207"/>
    </row>
    <row r="137" spans="1:9" ht="16.5" x14ac:dyDescent="0.35">
      <c r="A137" s="223"/>
      <c r="B137" s="47"/>
      <c r="C137" s="47"/>
      <c r="D137" s="47"/>
      <c r="E137" s="224"/>
      <c r="F137" s="226"/>
      <c r="G137" s="226"/>
      <c r="H137" s="216"/>
    </row>
    <row r="138" spans="1:9" ht="16.5" x14ac:dyDescent="0.35">
      <c r="A138" s="298" t="s">
        <v>4</v>
      </c>
      <c r="B138" s="218" t="s">
        <v>5</v>
      </c>
      <c r="C138" s="218"/>
      <c r="D138" s="230"/>
      <c r="E138" s="228" t="s">
        <v>6</v>
      </c>
      <c r="F138" s="231" t="s">
        <v>81</v>
      </c>
      <c r="G138" s="231" t="s">
        <v>82</v>
      </c>
      <c r="H138" s="216"/>
    </row>
    <row r="139" spans="1:9" x14ac:dyDescent="0.2">
      <c r="A139" s="233"/>
      <c r="B139" s="233"/>
      <c r="C139" s="234"/>
      <c r="D139" s="235"/>
      <c r="E139" s="236"/>
      <c r="F139" s="237"/>
      <c r="G139" s="238"/>
      <c r="H139" s="216"/>
    </row>
    <row r="140" spans="1:9" x14ac:dyDescent="0.2">
      <c r="A140" s="239">
        <v>44384</v>
      </c>
      <c r="B140" s="240" t="s">
        <v>155</v>
      </c>
      <c r="C140" s="47"/>
      <c r="D140" s="225"/>
      <c r="E140" s="241"/>
      <c r="F140" s="215">
        <v>105110.23</v>
      </c>
      <c r="G140" s="242"/>
      <c r="H140" s="216"/>
      <c r="I140" s="207"/>
    </row>
    <row r="141" spans="1:9" x14ac:dyDescent="0.2">
      <c r="A141" s="239"/>
      <c r="B141" s="240" t="s">
        <v>6</v>
      </c>
      <c r="C141" s="47"/>
      <c r="D141" s="225"/>
      <c r="E141" s="241">
        <v>15766.53</v>
      </c>
      <c r="F141" s="215">
        <f>E141</f>
        <v>15766.53</v>
      </c>
      <c r="G141" s="242"/>
      <c r="H141" s="216"/>
      <c r="I141" s="207">
        <f>120876.76-105110.23</f>
        <v>15766.529999999999</v>
      </c>
    </row>
    <row r="142" spans="1:9" x14ac:dyDescent="0.2">
      <c r="A142" s="239"/>
      <c r="B142" s="240"/>
      <c r="C142" s="47"/>
      <c r="D142" s="225"/>
      <c r="E142" s="241"/>
      <c r="F142" s="215"/>
      <c r="G142" s="242"/>
      <c r="H142" s="216"/>
    </row>
    <row r="143" spans="1:9" x14ac:dyDescent="0.2">
      <c r="A143" s="239"/>
      <c r="B143" s="244" t="s">
        <v>143</v>
      </c>
      <c r="C143" s="47"/>
      <c r="D143" s="225"/>
      <c r="E143" s="241"/>
      <c r="F143" s="215">
        <v>88405.08</v>
      </c>
      <c r="G143" s="242"/>
      <c r="H143" s="216"/>
      <c r="I143" s="192">
        <f>88405.08-76873.98</f>
        <v>11531.100000000006</v>
      </c>
    </row>
    <row r="144" spans="1:9" x14ac:dyDescent="0.2">
      <c r="A144" s="239"/>
      <c r="B144" s="240"/>
      <c r="C144" s="47"/>
      <c r="D144" s="225"/>
      <c r="E144" s="241"/>
      <c r="F144" s="215"/>
      <c r="G144" s="242"/>
      <c r="H144" s="216"/>
      <c r="I144" s="47"/>
    </row>
    <row r="145" spans="1:9" x14ac:dyDescent="0.2">
      <c r="A145" s="239"/>
      <c r="B145" s="240" t="s">
        <v>162</v>
      </c>
      <c r="C145" s="47"/>
      <c r="D145" s="225"/>
      <c r="E145" s="241"/>
      <c r="F145" s="215">
        <v>200777.48</v>
      </c>
      <c r="G145" s="242"/>
      <c r="H145" s="216"/>
      <c r="I145" s="243">
        <f>F145/1.15</f>
        <v>174589.11304347828</v>
      </c>
    </row>
    <row r="146" spans="1:9" x14ac:dyDescent="0.2">
      <c r="A146" s="239"/>
      <c r="B146" s="240" t="s">
        <v>163</v>
      </c>
      <c r="C146" s="47"/>
      <c r="D146" s="225"/>
      <c r="E146" s="241">
        <f>F146</f>
        <v>30116.622000000003</v>
      </c>
      <c r="F146" s="215">
        <f>F145*15/100</f>
        <v>30116.622000000003</v>
      </c>
      <c r="G146" s="242"/>
      <c r="H146" s="216"/>
      <c r="I146" s="47"/>
    </row>
    <row r="147" spans="1:9" x14ac:dyDescent="0.2">
      <c r="A147" s="239"/>
      <c r="B147" s="244"/>
      <c r="C147" s="47"/>
      <c r="D147" s="225"/>
      <c r="E147" s="299"/>
      <c r="F147" s="282"/>
      <c r="G147" s="242"/>
      <c r="H147" s="216"/>
      <c r="I147" s="47"/>
    </row>
    <row r="148" spans="1:9" x14ac:dyDescent="0.2">
      <c r="A148" s="239"/>
      <c r="B148" s="240" t="s">
        <v>164</v>
      </c>
      <c r="C148" s="47"/>
      <c r="D148" s="225"/>
      <c r="E148" s="241"/>
      <c r="F148" s="215">
        <v>38000</v>
      </c>
      <c r="G148" s="242"/>
      <c r="H148" s="216"/>
      <c r="I148" s="243">
        <f>F148/1.15</f>
        <v>33043.478260869568</v>
      </c>
    </row>
    <row r="149" spans="1:9" x14ac:dyDescent="0.2">
      <c r="A149" s="239"/>
      <c r="B149" s="300"/>
      <c r="C149" s="279"/>
      <c r="D149" s="289"/>
      <c r="E149" s="241">
        <f>F149</f>
        <v>5700</v>
      </c>
      <c r="F149" s="215">
        <f>F148*15/100</f>
        <v>5700</v>
      </c>
      <c r="G149" s="242"/>
      <c r="H149" s="216"/>
      <c r="I149" s="47"/>
    </row>
    <row r="150" spans="1:9" x14ac:dyDescent="0.2">
      <c r="A150" s="239"/>
      <c r="B150" s="300"/>
      <c r="C150" s="279"/>
      <c r="D150" s="289"/>
      <c r="E150" s="299"/>
      <c r="F150" s="282"/>
      <c r="G150" s="242"/>
      <c r="H150" s="216"/>
      <c r="I150" s="47"/>
    </row>
    <row r="151" spans="1:9" x14ac:dyDescent="0.2">
      <c r="A151" s="240"/>
      <c r="B151" s="240"/>
      <c r="C151" s="47"/>
      <c r="D151" s="247"/>
      <c r="E151" s="241"/>
      <c r="F151" s="215"/>
      <c r="G151" s="242"/>
      <c r="H151" s="216"/>
      <c r="I151" s="47"/>
    </row>
    <row r="152" spans="1:9" x14ac:dyDescent="0.2">
      <c r="A152" s="240"/>
      <c r="B152" s="244" t="s">
        <v>7</v>
      </c>
      <c r="C152" s="47"/>
      <c r="D152" s="247"/>
      <c r="E152" s="248"/>
      <c r="F152" s="215"/>
      <c r="G152" s="242"/>
      <c r="H152" s="216"/>
    </row>
    <row r="153" spans="1:9" x14ac:dyDescent="0.2">
      <c r="A153" s="240"/>
      <c r="B153" s="244" t="s">
        <v>8</v>
      </c>
      <c r="C153" s="47"/>
      <c r="D153" s="247"/>
      <c r="E153" s="248"/>
      <c r="F153" s="215"/>
      <c r="G153" s="242"/>
      <c r="H153" s="216"/>
    </row>
    <row r="154" spans="1:9" x14ac:dyDescent="0.2">
      <c r="A154" s="240"/>
      <c r="B154" s="244" t="s">
        <v>87</v>
      </c>
      <c r="C154" s="249">
        <v>0.1</v>
      </c>
      <c r="D154" s="247">
        <f>F140+F141+F143+F145+F146+F148+F149</f>
        <v>483875.94200000004</v>
      </c>
      <c r="E154" s="248"/>
      <c r="F154" s="215"/>
      <c r="G154" s="242"/>
      <c r="H154" s="216"/>
      <c r="I154" s="208">
        <f>+D215-150000</f>
        <v>14083875.941</v>
      </c>
    </row>
    <row r="155" spans="1:9" x14ac:dyDescent="0.2">
      <c r="A155" s="240"/>
      <c r="B155" s="244"/>
      <c r="C155" s="47"/>
      <c r="D155" s="247">
        <f>D154*C154</f>
        <v>48387.594200000007</v>
      </c>
      <c r="E155" s="248"/>
      <c r="F155" s="215"/>
      <c r="G155" s="242"/>
      <c r="H155" s="216"/>
      <c r="I155" s="208"/>
    </row>
    <row r="156" spans="1:9" x14ac:dyDescent="0.2">
      <c r="A156" s="240"/>
      <c r="B156" s="240" t="s">
        <v>163</v>
      </c>
      <c r="C156" s="232">
        <f>F141+F146+F149</f>
        <v>51583.152000000002</v>
      </c>
      <c r="D156" s="272">
        <f>C156*0.1*C158</f>
        <v>773.74728000000016</v>
      </c>
      <c r="E156" s="248"/>
      <c r="F156" s="215"/>
      <c r="G156" s="242"/>
      <c r="H156" s="216"/>
      <c r="I156" s="192">
        <f>+I154/5000</f>
        <v>2816.7751881999998</v>
      </c>
    </row>
    <row r="157" spans="1:9" ht="15" thickBot="1" x14ac:dyDescent="0.25">
      <c r="A157" s="240"/>
      <c r="B157" s="244"/>
      <c r="C157" s="232"/>
      <c r="D157" s="252">
        <f>D155-D156</f>
        <v>47613.846920000004</v>
      </c>
      <c r="E157" s="248"/>
      <c r="F157" s="215"/>
      <c r="G157" s="242">
        <f>D157</f>
        <v>47613.846920000004</v>
      </c>
      <c r="H157" s="216"/>
      <c r="I157" s="192">
        <f>131*275+1000</f>
        <v>37025</v>
      </c>
    </row>
    <row r="158" spans="1:9" ht="15" thickTop="1" x14ac:dyDescent="0.2">
      <c r="A158" s="240"/>
      <c r="B158" s="240" t="s">
        <v>89</v>
      </c>
      <c r="C158" s="301">
        <v>0.15</v>
      </c>
      <c r="D158" s="247">
        <f>D157*15/100</f>
        <v>7142.0770380000004</v>
      </c>
      <c r="E158" s="248">
        <f>D158</f>
        <v>7142.0770380000004</v>
      </c>
      <c r="F158" s="215"/>
      <c r="G158" s="242">
        <f>E158</f>
        <v>7142.0770380000004</v>
      </c>
      <c r="H158" s="216"/>
    </row>
    <row r="159" spans="1:9" x14ac:dyDescent="0.2">
      <c r="A159" s="302"/>
      <c r="B159" s="240"/>
      <c r="C159" s="47"/>
      <c r="D159" s="259"/>
      <c r="E159" s="248"/>
      <c r="F159" s="262"/>
      <c r="G159" s="263"/>
      <c r="H159" s="216"/>
    </row>
    <row r="160" spans="1:9" x14ac:dyDescent="0.2">
      <c r="A160" s="239"/>
      <c r="B160" s="244" t="s">
        <v>10</v>
      </c>
      <c r="C160" s="47" t="s">
        <v>11</v>
      </c>
      <c r="D160" s="259">
        <f>+F215</f>
        <v>275000</v>
      </c>
      <c r="E160" s="248"/>
      <c r="F160" s="215"/>
      <c r="G160" s="242">
        <f>+F214</f>
        <v>9348.5347632341018</v>
      </c>
      <c r="H160" s="216"/>
      <c r="I160" s="207"/>
    </row>
    <row r="161" spans="1:8" x14ac:dyDescent="0.2">
      <c r="A161" s="239"/>
      <c r="B161" s="240"/>
      <c r="C161" s="47"/>
      <c r="D161" s="303"/>
      <c r="E161" s="248"/>
      <c r="F161" s="215"/>
      <c r="G161" s="242"/>
      <c r="H161" s="216"/>
    </row>
    <row r="162" spans="1:8" x14ac:dyDescent="0.2">
      <c r="A162" s="240"/>
      <c r="B162" s="244" t="s">
        <v>84</v>
      </c>
      <c r="C162" s="254"/>
      <c r="D162" s="257"/>
      <c r="E162" s="248"/>
      <c r="F162" s="215"/>
      <c r="G162" s="242"/>
      <c r="H162" s="216"/>
    </row>
    <row r="163" spans="1:8" ht="15" thickBot="1" x14ac:dyDescent="0.25">
      <c r="A163" s="302"/>
      <c r="B163" s="240" t="s">
        <v>178</v>
      </c>
      <c r="C163" s="47">
        <v>2022</v>
      </c>
      <c r="D163" s="265">
        <f>+G215</f>
        <v>52000</v>
      </c>
      <c r="E163" s="248"/>
      <c r="F163" s="262"/>
      <c r="G163" s="263">
        <f>+G214</f>
        <v>1767.7229370479031</v>
      </c>
      <c r="H163" s="216"/>
    </row>
    <row r="164" spans="1:8" ht="15" thickTop="1" x14ac:dyDescent="0.2">
      <c r="A164" s="302"/>
      <c r="B164" s="240"/>
      <c r="C164" s="47"/>
      <c r="D164" s="259"/>
      <c r="E164" s="248"/>
      <c r="F164" s="262"/>
      <c r="G164" s="263"/>
      <c r="H164" s="216"/>
    </row>
    <row r="165" spans="1:8" x14ac:dyDescent="0.2">
      <c r="A165" s="302"/>
      <c r="B165" s="240"/>
      <c r="C165" s="47"/>
      <c r="D165" s="259"/>
      <c r="E165" s="248"/>
      <c r="F165" s="262"/>
      <c r="G165" s="263"/>
      <c r="H165" s="216"/>
    </row>
    <row r="166" spans="1:8" ht="15" x14ac:dyDescent="0.25">
      <c r="A166" s="240"/>
      <c r="B166" s="286" t="s">
        <v>165</v>
      </c>
      <c r="C166" s="47"/>
      <c r="D166" s="259"/>
      <c r="E166" s="248"/>
      <c r="F166" s="262"/>
      <c r="G166" s="263"/>
      <c r="H166" s="216"/>
    </row>
    <row r="167" spans="1:8" x14ac:dyDescent="0.2">
      <c r="A167" s="240"/>
      <c r="B167" s="240" t="s">
        <v>11</v>
      </c>
      <c r="C167" s="47"/>
      <c r="D167" s="259">
        <v>2554.7800000000002</v>
      </c>
      <c r="E167" s="248"/>
      <c r="F167" s="262"/>
      <c r="G167" s="263">
        <f>D167</f>
        <v>2554.7800000000002</v>
      </c>
      <c r="H167" s="216"/>
    </row>
    <row r="168" spans="1:8" x14ac:dyDescent="0.2">
      <c r="A168" s="240"/>
      <c r="B168" s="240"/>
      <c r="C168" s="47"/>
      <c r="D168" s="259"/>
      <c r="E168" s="248"/>
      <c r="F168" s="262"/>
      <c r="G168" s="263"/>
      <c r="H168" s="216"/>
    </row>
    <row r="169" spans="1:8" ht="15" x14ac:dyDescent="0.25">
      <c r="A169" s="240"/>
      <c r="B169" s="286" t="s">
        <v>12</v>
      </c>
      <c r="C169" s="47" t="s">
        <v>97</v>
      </c>
      <c r="D169" s="259"/>
      <c r="E169" s="248"/>
      <c r="F169" s="262"/>
      <c r="G169" s="263"/>
      <c r="H169" s="216"/>
    </row>
    <row r="170" spans="1:8" ht="15" x14ac:dyDescent="0.25">
      <c r="A170" s="240"/>
      <c r="B170" s="286"/>
      <c r="C170" s="47" t="s">
        <v>6</v>
      </c>
      <c r="D170" s="259"/>
      <c r="E170" s="248"/>
      <c r="F170" s="262"/>
      <c r="G170" s="263"/>
      <c r="H170" s="216"/>
    </row>
    <row r="171" spans="1:8" x14ac:dyDescent="0.2">
      <c r="A171" s="240"/>
      <c r="B171" s="240" t="s">
        <v>13</v>
      </c>
      <c r="C171" s="47"/>
      <c r="D171" s="259">
        <f>F141+F146+F149</f>
        <v>51583.152000000002</v>
      </c>
      <c r="E171" s="281"/>
      <c r="F171" s="262"/>
      <c r="G171" s="263"/>
      <c r="H171" s="216"/>
    </row>
    <row r="172" spans="1:8" x14ac:dyDescent="0.2">
      <c r="A172" s="240"/>
      <c r="B172" s="240" t="s">
        <v>14</v>
      </c>
      <c r="C172" s="47"/>
      <c r="D172" s="304">
        <f>SUM(E153:E199)</f>
        <v>7142.0770380000004</v>
      </c>
      <c r="E172" s="281"/>
      <c r="F172" s="262"/>
      <c r="G172" s="263"/>
      <c r="H172" s="215"/>
    </row>
    <row r="173" spans="1:8" x14ac:dyDescent="0.2">
      <c r="A173" s="240"/>
      <c r="B173" s="240"/>
      <c r="C173" s="47"/>
      <c r="D173" s="259">
        <f>+D171-D172</f>
        <v>44441.074961999999</v>
      </c>
      <c r="E173" s="281"/>
      <c r="F173" s="262"/>
      <c r="G173" s="263">
        <f>+D173</f>
        <v>44441.074961999999</v>
      </c>
      <c r="H173" s="215"/>
    </row>
    <row r="174" spans="1:8" x14ac:dyDescent="0.2">
      <c r="A174" s="240"/>
      <c r="B174" s="244" t="s">
        <v>19</v>
      </c>
      <c r="C174" s="47"/>
      <c r="D174" s="259"/>
      <c r="E174" s="241"/>
      <c r="F174" s="262"/>
      <c r="G174" s="263"/>
      <c r="H174" s="215"/>
    </row>
    <row r="175" spans="1:8" x14ac:dyDescent="0.2">
      <c r="A175" s="240"/>
      <c r="B175" s="244" t="s">
        <v>20</v>
      </c>
      <c r="C175" s="47"/>
      <c r="D175" s="247"/>
      <c r="E175" s="241"/>
      <c r="F175" s="262"/>
      <c r="G175" s="263"/>
      <c r="H175" s="215"/>
    </row>
    <row r="176" spans="1:8" x14ac:dyDescent="0.2">
      <c r="A176" s="240"/>
      <c r="B176" s="240" t="s">
        <v>133</v>
      </c>
      <c r="C176" s="47"/>
      <c r="D176" s="247">
        <v>920</v>
      </c>
      <c r="E176" s="241"/>
      <c r="F176" s="262"/>
      <c r="G176" s="263"/>
      <c r="H176" s="215"/>
    </row>
    <row r="177" spans="1:9" x14ac:dyDescent="0.2">
      <c r="A177" s="240"/>
      <c r="B177" s="244" t="s">
        <v>22</v>
      </c>
      <c r="C177" s="47"/>
      <c r="D177" s="247"/>
      <c r="E177" s="241"/>
      <c r="F177" s="262"/>
      <c r="G177" s="263"/>
      <c r="H177" s="215"/>
    </row>
    <row r="178" spans="1:9" x14ac:dyDescent="0.2">
      <c r="A178" s="240"/>
      <c r="B178" s="240" t="s">
        <v>21</v>
      </c>
      <c r="C178" s="47"/>
      <c r="D178" s="247">
        <v>37.82</v>
      </c>
      <c r="E178" s="241"/>
      <c r="F178" s="262"/>
      <c r="G178" s="263"/>
      <c r="H178" s="215"/>
    </row>
    <row r="179" spans="1:9" x14ac:dyDescent="0.2">
      <c r="A179" s="240"/>
      <c r="B179" s="244" t="s">
        <v>23</v>
      </c>
      <c r="C179" s="47"/>
      <c r="D179" s="247"/>
      <c r="E179" s="241"/>
      <c r="F179" s="278"/>
      <c r="G179" s="278"/>
      <c r="H179" s="215"/>
    </row>
    <row r="180" spans="1:9" x14ac:dyDescent="0.2">
      <c r="A180" s="240"/>
      <c r="B180" s="240" t="s">
        <v>21</v>
      </c>
      <c r="C180" s="47"/>
      <c r="D180" s="272">
        <v>37.82</v>
      </c>
      <c r="E180" s="241"/>
      <c r="F180" s="278"/>
      <c r="G180" s="278">
        <f>SUM(D175:D180)</f>
        <v>995.6400000000001</v>
      </c>
      <c r="H180" s="215"/>
    </row>
    <row r="181" spans="1:9" x14ac:dyDescent="0.2">
      <c r="A181" s="240"/>
      <c r="B181" s="244" t="s">
        <v>24</v>
      </c>
      <c r="C181" s="47"/>
      <c r="D181" s="247"/>
      <c r="E181" s="241"/>
      <c r="F181" s="278"/>
      <c r="G181" s="278"/>
      <c r="H181" s="215"/>
    </row>
    <row r="182" spans="1:9" x14ac:dyDescent="0.2">
      <c r="A182" s="240"/>
      <c r="B182" s="240" t="s">
        <v>25</v>
      </c>
      <c r="C182" s="47"/>
      <c r="D182" s="247">
        <v>1030</v>
      </c>
      <c r="E182" s="241"/>
      <c r="F182" s="278"/>
      <c r="G182" s="278"/>
      <c r="H182" s="215"/>
    </row>
    <row r="183" spans="1:9" x14ac:dyDescent="0.2">
      <c r="A183" s="240"/>
      <c r="B183" s="284"/>
      <c r="C183" s="47"/>
      <c r="D183" s="305"/>
      <c r="E183" s="241"/>
      <c r="F183" s="262"/>
      <c r="G183" s="263">
        <f>+D182+D183</f>
        <v>1030</v>
      </c>
      <c r="H183" s="215"/>
    </row>
    <row r="184" spans="1:9" x14ac:dyDescent="0.2">
      <c r="A184" s="240"/>
      <c r="B184" s="240"/>
      <c r="C184" s="306"/>
      <c r="D184" s="225"/>
      <c r="E184" s="241"/>
      <c r="F184" s="262"/>
      <c r="G184" s="287"/>
      <c r="H184" s="215"/>
    </row>
    <row r="185" spans="1:9" x14ac:dyDescent="0.2">
      <c r="A185" s="240"/>
      <c r="B185" s="240" t="s">
        <v>156</v>
      </c>
      <c r="C185" s="249"/>
      <c r="D185" s="307"/>
      <c r="E185" s="241"/>
      <c r="F185" s="262"/>
      <c r="G185" s="263">
        <f>SUM(G139:G184)</f>
        <v>114893.676620282</v>
      </c>
      <c r="H185" s="215"/>
    </row>
    <row r="186" spans="1:9" x14ac:dyDescent="0.2">
      <c r="A186" s="240"/>
      <c r="B186" s="240"/>
      <c r="C186" s="249"/>
      <c r="D186" s="225"/>
      <c r="E186" s="241"/>
      <c r="F186" s="262"/>
      <c r="G186" s="263"/>
      <c r="H186" s="215"/>
    </row>
    <row r="187" spans="1:9" x14ac:dyDescent="0.2">
      <c r="A187" s="240"/>
      <c r="B187" s="240" t="s">
        <v>12</v>
      </c>
      <c r="C187" s="288"/>
      <c r="D187" s="289"/>
      <c r="E187" s="299"/>
      <c r="F187" s="308"/>
      <c r="G187" s="263">
        <v>137186.64000000001</v>
      </c>
      <c r="H187" s="215"/>
      <c r="I187" s="207"/>
    </row>
    <row r="188" spans="1:9" x14ac:dyDescent="0.2">
      <c r="A188" s="240"/>
      <c r="B188" s="284"/>
      <c r="C188" s="288"/>
      <c r="D188" s="289"/>
      <c r="E188" s="299"/>
      <c r="F188" s="308"/>
      <c r="G188" s="309"/>
      <c r="H188" s="215"/>
      <c r="I188" s="207"/>
    </row>
    <row r="189" spans="1:9" x14ac:dyDescent="0.2">
      <c r="A189" s="240"/>
      <c r="B189" s="240" t="s">
        <v>157</v>
      </c>
      <c r="C189" s="288"/>
      <c r="D189" s="289"/>
      <c r="E189" s="299"/>
      <c r="F189" s="308"/>
      <c r="G189" s="309"/>
      <c r="H189" s="215"/>
    </row>
    <row r="190" spans="1:9" x14ac:dyDescent="0.2">
      <c r="A190" s="240"/>
      <c r="B190" s="284"/>
      <c r="C190" s="288"/>
      <c r="D190" s="289"/>
      <c r="E190" s="299"/>
      <c r="F190" s="308"/>
      <c r="G190" s="309"/>
      <c r="H190" s="215"/>
    </row>
    <row r="191" spans="1:9" x14ac:dyDescent="0.2">
      <c r="A191" s="240"/>
      <c r="B191" s="240" t="s">
        <v>131</v>
      </c>
      <c r="C191" s="288"/>
      <c r="D191" s="289"/>
      <c r="E191" s="299"/>
      <c r="F191" s="308"/>
      <c r="G191" s="263">
        <v>18000</v>
      </c>
      <c r="H191" s="215"/>
    </row>
    <row r="192" spans="1:9" x14ac:dyDescent="0.2">
      <c r="A192" s="240"/>
      <c r="B192" s="240" t="s">
        <v>176</v>
      </c>
      <c r="C192" s="288"/>
      <c r="D192" s="289"/>
      <c r="E192" s="299"/>
      <c r="F192" s="308"/>
      <c r="G192" s="263">
        <v>12000</v>
      </c>
      <c r="H192" s="215"/>
    </row>
    <row r="193" spans="1:9" x14ac:dyDescent="0.2">
      <c r="A193" s="240"/>
      <c r="B193" s="240" t="s">
        <v>158</v>
      </c>
      <c r="C193" s="288"/>
      <c r="D193" s="289"/>
      <c r="E193" s="299"/>
      <c r="F193" s="308"/>
      <c r="G193" s="263">
        <v>12000</v>
      </c>
      <c r="H193" s="215"/>
    </row>
    <row r="194" spans="1:9" x14ac:dyDescent="0.2">
      <c r="A194" s="240"/>
      <c r="B194" s="240" t="s">
        <v>173</v>
      </c>
      <c r="C194" s="288"/>
      <c r="D194" s="289"/>
      <c r="E194" s="299"/>
      <c r="F194" s="308"/>
      <c r="G194" s="263">
        <v>12000</v>
      </c>
      <c r="H194" s="215"/>
    </row>
    <row r="195" spans="1:9" x14ac:dyDescent="0.2">
      <c r="A195" s="240"/>
      <c r="B195" s="284"/>
      <c r="C195" s="288"/>
      <c r="D195" s="289"/>
      <c r="E195" s="299"/>
      <c r="F195" s="308"/>
      <c r="G195" s="309"/>
      <c r="H195" s="215"/>
    </row>
    <row r="196" spans="1:9" x14ac:dyDescent="0.2">
      <c r="A196" s="240"/>
      <c r="B196" s="284"/>
      <c r="C196" s="288"/>
      <c r="D196" s="289"/>
      <c r="E196" s="299"/>
      <c r="F196" s="308"/>
      <c r="G196" s="309"/>
      <c r="H196" s="215"/>
    </row>
    <row r="197" spans="1:9" x14ac:dyDescent="0.2">
      <c r="A197" s="240"/>
      <c r="B197" s="284"/>
      <c r="C197" s="288"/>
      <c r="D197" s="289"/>
      <c r="E197" s="299"/>
      <c r="F197" s="308"/>
      <c r="G197" s="309"/>
      <c r="H197" s="215"/>
    </row>
    <row r="198" spans="1:9" x14ac:dyDescent="0.2">
      <c r="A198" s="240"/>
      <c r="B198" s="284"/>
      <c r="C198" s="288"/>
      <c r="D198" s="289"/>
      <c r="E198" s="299"/>
      <c r="F198" s="308"/>
      <c r="G198" s="309"/>
      <c r="H198" s="215"/>
    </row>
    <row r="199" spans="1:9" ht="15" x14ac:dyDescent="0.25">
      <c r="A199" s="240"/>
      <c r="B199" s="240" t="s">
        <v>159</v>
      </c>
      <c r="C199" s="249"/>
      <c r="D199" s="225"/>
      <c r="E199" s="241"/>
      <c r="F199" s="262"/>
      <c r="G199" s="310">
        <v>177795.62</v>
      </c>
      <c r="H199" s="215"/>
      <c r="I199" s="207"/>
    </row>
    <row r="200" spans="1:9" x14ac:dyDescent="0.2">
      <c r="A200" s="240"/>
      <c r="B200" s="240"/>
      <c r="C200" s="47"/>
      <c r="D200" s="247"/>
      <c r="E200" s="241"/>
      <c r="F200" s="311"/>
      <c r="G200" s="287"/>
      <c r="H200" s="215"/>
    </row>
    <row r="201" spans="1:9" x14ac:dyDescent="0.2">
      <c r="A201" s="223"/>
      <c r="B201" s="240"/>
      <c r="C201" s="47"/>
      <c r="D201" s="247"/>
      <c r="E201" s="241"/>
      <c r="F201" s="262"/>
      <c r="G201" s="263"/>
      <c r="H201" s="215"/>
    </row>
    <row r="202" spans="1:9" x14ac:dyDescent="0.2">
      <c r="A202" s="223"/>
      <c r="B202" s="240"/>
      <c r="C202" s="47"/>
      <c r="D202" s="247"/>
      <c r="E202" s="241"/>
      <c r="F202" s="243">
        <f>SUM(F137:F200)</f>
        <v>483875.94200000004</v>
      </c>
      <c r="G202" s="312">
        <f>G157+G158+G160+G163+G167+G173+G180+G183+G187+G191+G192+G193+G194+G199</f>
        <v>483875.93662028201</v>
      </c>
      <c r="H202" s="215"/>
      <c r="I202" s="209"/>
    </row>
    <row r="203" spans="1:9" ht="15" thickBot="1" x14ac:dyDescent="0.25">
      <c r="A203" s="223"/>
      <c r="B203" s="240"/>
      <c r="C203" s="47"/>
      <c r="D203" s="225"/>
      <c r="E203" s="241"/>
      <c r="F203" s="313"/>
      <c r="G203" s="314"/>
      <c r="H203" s="215"/>
    </row>
    <row r="204" spans="1:9" ht="15" thickTop="1" x14ac:dyDescent="0.2">
      <c r="A204" s="270"/>
      <c r="B204" s="271"/>
      <c r="C204" s="219"/>
      <c r="D204" s="291"/>
      <c r="E204" s="273"/>
      <c r="F204" s="311"/>
      <c r="G204" s="315"/>
      <c r="H204" s="215"/>
    </row>
    <row r="205" spans="1:9" x14ac:dyDescent="0.2">
      <c r="A205" s="47"/>
      <c r="B205" s="47"/>
      <c r="C205" s="47"/>
      <c r="D205" s="266"/>
      <c r="E205" s="47"/>
      <c r="F205" s="215"/>
      <c r="G205" s="215"/>
      <c r="H205" s="215"/>
    </row>
    <row r="206" spans="1:9" x14ac:dyDescent="0.2">
      <c r="A206" s="47"/>
      <c r="B206" s="47"/>
      <c r="C206" s="47"/>
      <c r="D206" s="266"/>
      <c r="E206" s="47"/>
      <c r="F206" s="215"/>
      <c r="G206" s="215"/>
      <c r="H206" s="215"/>
      <c r="I206" s="192">
        <v>188394.96</v>
      </c>
    </row>
    <row r="207" spans="1:9" x14ac:dyDescent="0.2">
      <c r="A207" s="47"/>
      <c r="B207" s="47" t="s">
        <v>26</v>
      </c>
      <c r="C207" s="47"/>
      <c r="D207" s="215"/>
      <c r="E207" s="214"/>
      <c r="F207" s="215"/>
      <c r="G207" s="215"/>
      <c r="H207" s="215"/>
    </row>
    <row r="208" spans="1:9" x14ac:dyDescent="0.2">
      <c r="A208" s="47"/>
      <c r="B208" s="47"/>
      <c r="C208" s="47"/>
      <c r="D208" s="215"/>
      <c r="E208" s="214"/>
      <c r="F208" s="215"/>
      <c r="G208" s="215"/>
      <c r="H208" s="215"/>
    </row>
    <row r="209" spans="1:9" x14ac:dyDescent="0.2">
      <c r="A209" s="47"/>
      <c r="B209" s="212" t="s">
        <v>27</v>
      </c>
      <c r="C209" s="47"/>
      <c r="D209" s="316" t="s">
        <v>72</v>
      </c>
      <c r="E209" s="214"/>
      <c r="F209" s="317">
        <v>3</v>
      </c>
      <c r="G209" s="317">
        <v>4</v>
      </c>
      <c r="H209" s="215"/>
      <c r="I209" s="207">
        <f>+G243+I211</f>
        <v>13280628.67</v>
      </c>
    </row>
    <row r="210" spans="1:9" ht="16.5" x14ac:dyDescent="0.35">
      <c r="A210" s="318"/>
      <c r="B210" s="319"/>
      <c r="C210" s="320"/>
      <c r="D210" s="321"/>
      <c r="E210" s="322"/>
      <c r="F210" s="323" t="s">
        <v>28</v>
      </c>
      <c r="G210" s="323" t="s">
        <v>18</v>
      </c>
      <c r="H210" s="215"/>
    </row>
    <row r="211" spans="1:9" x14ac:dyDescent="0.2">
      <c r="A211" s="318"/>
      <c r="B211" s="319" t="s">
        <v>29</v>
      </c>
      <c r="C211" s="320"/>
      <c r="D211" s="321">
        <v>9100000</v>
      </c>
      <c r="E211" s="324"/>
      <c r="F211" s="325">
        <f>+F215*D211/D215</f>
        <v>175812.96973311875</v>
      </c>
      <c r="G211" s="321">
        <f>+G215*D211/D215</f>
        <v>33244.634276807905</v>
      </c>
      <c r="H211" s="215"/>
      <c r="I211" s="207">
        <f>+F246-G246</f>
        <v>0</v>
      </c>
    </row>
    <row r="212" spans="1:9" x14ac:dyDescent="0.2">
      <c r="A212" s="318"/>
      <c r="B212" s="319" t="s">
        <v>95</v>
      </c>
      <c r="C212" s="320"/>
      <c r="D212" s="238">
        <f>F88</f>
        <v>3499999.9989999998</v>
      </c>
      <c r="E212" s="224"/>
      <c r="F212" s="326">
        <f>+F215*D212/D215</f>
        <v>67620.372954956329</v>
      </c>
      <c r="G212" s="238">
        <f>+G215*D212/D215</f>
        <v>12786.397795119015</v>
      </c>
      <c r="H212" s="215"/>
    </row>
    <row r="213" spans="1:9" x14ac:dyDescent="0.2">
      <c r="A213" s="318"/>
      <c r="B213" s="319" t="s">
        <v>142</v>
      </c>
      <c r="C213" s="320"/>
      <c r="D213" s="238">
        <v>1150000</v>
      </c>
      <c r="E213" s="224"/>
      <c r="F213" s="326">
        <f>D213*F215/D215</f>
        <v>22218.12254869083</v>
      </c>
      <c r="G213" s="238">
        <f>D213*G215/D215</f>
        <v>4201.2449910251753</v>
      </c>
      <c r="H213" s="215"/>
    </row>
    <row r="214" spans="1:9" ht="15" thickBot="1" x14ac:dyDescent="0.25">
      <c r="A214" s="318"/>
      <c r="B214" s="319" t="s">
        <v>96</v>
      </c>
      <c r="C214" s="320"/>
      <c r="D214" s="327">
        <f>F140+F141+F143+F144+F145+F146+F148+F149</f>
        <v>483875.94200000004</v>
      </c>
      <c r="E214" s="224"/>
      <c r="F214" s="325">
        <f>+F215*D214/D215</f>
        <v>9348.5347632341018</v>
      </c>
      <c r="G214" s="327">
        <f>+G215*D214/D215</f>
        <v>1767.7229370479031</v>
      </c>
      <c r="H214" s="215"/>
    </row>
    <row r="215" spans="1:9" ht="15" thickBot="1" x14ac:dyDescent="0.25">
      <c r="A215" s="318"/>
      <c r="B215" s="319"/>
      <c r="C215" s="320"/>
      <c r="D215" s="269">
        <f>SUM(D211:D214)</f>
        <v>14233875.941</v>
      </c>
      <c r="E215" s="324"/>
      <c r="F215" s="328">
        <v>275000</v>
      </c>
      <c r="G215" s="329">
        <v>52000</v>
      </c>
      <c r="H215" s="215"/>
    </row>
    <row r="216" spans="1:9" ht="15" thickTop="1" x14ac:dyDescent="0.2">
      <c r="A216" s="318"/>
      <c r="B216" s="319"/>
      <c r="C216" s="320"/>
      <c r="D216" s="267"/>
      <c r="E216" s="330"/>
      <c r="F216" s="267"/>
      <c r="G216" s="267"/>
      <c r="H216" s="215"/>
    </row>
    <row r="217" spans="1:9" x14ac:dyDescent="0.2">
      <c r="A217" s="318"/>
      <c r="B217" s="47"/>
      <c r="C217" s="47"/>
      <c r="D217" s="215"/>
      <c r="E217" s="214"/>
      <c r="F217" s="215"/>
      <c r="G217" s="215"/>
      <c r="H217" s="215"/>
    </row>
    <row r="218" spans="1:9" x14ac:dyDescent="0.2">
      <c r="A218" s="47"/>
      <c r="B218" s="47"/>
      <c r="C218" s="47"/>
      <c r="D218" s="266"/>
      <c r="E218" s="47"/>
      <c r="F218" s="215"/>
      <c r="G218" s="215"/>
      <c r="H218" s="215"/>
    </row>
    <row r="219" spans="1:9" ht="15" x14ac:dyDescent="0.25">
      <c r="A219" s="47"/>
      <c r="B219" s="212"/>
      <c r="C219" s="47"/>
      <c r="D219" s="331"/>
      <c r="E219" s="214"/>
      <c r="F219" s="215"/>
      <c r="G219" s="215"/>
      <c r="H219" s="47"/>
    </row>
    <row r="220" spans="1:9" x14ac:dyDescent="0.2">
      <c r="A220" s="47"/>
      <c r="B220" s="212" t="s">
        <v>30</v>
      </c>
      <c r="C220" s="47"/>
      <c r="D220" s="47"/>
      <c r="E220" s="214"/>
      <c r="F220" s="215"/>
      <c r="G220" s="215"/>
      <c r="H220" s="47"/>
    </row>
    <row r="221" spans="1:9" x14ac:dyDescent="0.2">
      <c r="A221" s="47"/>
      <c r="B221" s="332">
        <f>+A243</f>
        <v>44900</v>
      </c>
      <c r="C221" s="47"/>
      <c r="D221" s="47"/>
      <c r="E221" s="214"/>
      <c r="F221" s="215"/>
      <c r="G221" s="215"/>
      <c r="H221" s="47"/>
    </row>
    <row r="222" spans="1:9" x14ac:dyDescent="0.2">
      <c r="A222" s="333"/>
      <c r="B222" s="294"/>
      <c r="C222" s="294"/>
      <c r="D222" s="237"/>
      <c r="E222" s="294"/>
      <c r="F222" s="294"/>
      <c r="G222" s="334"/>
      <c r="H222" s="47"/>
    </row>
    <row r="223" spans="1:9" x14ac:dyDescent="0.2">
      <c r="A223" s="335" t="s">
        <v>4</v>
      </c>
      <c r="B223" s="218" t="s">
        <v>31</v>
      </c>
      <c r="C223" s="219"/>
      <c r="D223" s="222"/>
      <c r="E223" s="219"/>
      <c r="F223" s="219"/>
      <c r="G223" s="291"/>
      <c r="H223" s="47"/>
    </row>
    <row r="224" spans="1:9" x14ac:dyDescent="0.2">
      <c r="A224" s="333"/>
      <c r="B224" s="47"/>
      <c r="C224" s="47"/>
      <c r="D224" s="215"/>
      <c r="E224" s="224"/>
      <c r="F224" s="336"/>
      <c r="G224" s="242"/>
      <c r="H224" s="47"/>
    </row>
    <row r="225" spans="1:9" x14ac:dyDescent="0.2">
      <c r="A225" s="337">
        <v>44875</v>
      </c>
      <c r="B225" s="47" t="s">
        <v>103</v>
      </c>
      <c r="C225" s="47" t="s">
        <v>104</v>
      </c>
      <c r="D225" s="225"/>
      <c r="E225" s="338"/>
      <c r="F225" s="339">
        <v>8550102.5</v>
      </c>
      <c r="G225" s="225"/>
      <c r="H225" s="47"/>
    </row>
    <row r="226" spans="1:9" x14ac:dyDescent="0.2">
      <c r="A226" s="337">
        <v>44875</v>
      </c>
      <c r="B226" s="47" t="s">
        <v>103</v>
      </c>
      <c r="C226" s="47" t="s">
        <v>87</v>
      </c>
      <c r="D226" s="215"/>
      <c r="E226" s="338"/>
      <c r="F226" s="242">
        <v>3438823.82</v>
      </c>
      <c r="G226" s="225"/>
      <c r="H226" s="47"/>
    </row>
    <row r="227" spans="1:9" x14ac:dyDescent="0.2">
      <c r="A227" s="337">
        <v>44875</v>
      </c>
      <c r="B227" s="47" t="s">
        <v>103</v>
      </c>
      <c r="C227" s="47" t="s">
        <v>105</v>
      </c>
      <c r="D227" s="215"/>
      <c r="E227" s="338"/>
      <c r="F227" s="242">
        <v>1150000</v>
      </c>
      <c r="G227" s="225"/>
      <c r="H227" s="47"/>
    </row>
    <row r="228" spans="1:9" x14ac:dyDescent="0.2">
      <c r="A228" s="337">
        <v>44875</v>
      </c>
      <c r="B228" s="47" t="s">
        <v>106</v>
      </c>
      <c r="C228" s="47" t="s">
        <v>107</v>
      </c>
      <c r="D228" s="215"/>
      <c r="E228" s="338"/>
      <c r="F228" s="242">
        <v>81490.98</v>
      </c>
      <c r="G228" s="225"/>
      <c r="H228" s="47"/>
    </row>
    <row r="229" spans="1:9" x14ac:dyDescent="0.2">
      <c r="A229" s="337">
        <v>44875</v>
      </c>
      <c r="B229" s="47" t="s">
        <v>108</v>
      </c>
      <c r="C229" s="47" t="s">
        <v>109</v>
      </c>
      <c r="D229" s="245"/>
      <c r="E229" s="338"/>
      <c r="F229" s="340">
        <v>105876.76</v>
      </c>
      <c r="G229" s="225"/>
      <c r="H229" s="47"/>
    </row>
    <row r="230" spans="1:9" x14ac:dyDescent="0.2">
      <c r="A230" s="337"/>
      <c r="B230" s="47"/>
      <c r="C230" s="47"/>
      <c r="D230" s="245"/>
      <c r="E230" s="338"/>
      <c r="F230" s="341"/>
      <c r="G230" s="225"/>
      <c r="H230" s="47"/>
    </row>
    <row r="231" spans="1:9" x14ac:dyDescent="0.2">
      <c r="A231" s="337"/>
      <c r="B231" s="212" t="s">
        <v>33</v>
      </c>
      <c r="C231" s="47"/>
      <c r="D231" s="245"/>
      <c r="E231" s="338"/>
      <c r="F231" s="225"/>
      <c r="G231" s="225"/>
      <c r="H231" s="47"/>
    </row>
    <row r="232" spans="1:9" x14ac:dyDescent="0.2">
      <c r="A232" s="337"/>
      <c r="B232" s="47"/>
      <c r="C232" s="46"/>
      <c r="D232" s="245"/>
      <c r="E232" s="338"/>
      <c r="F232" s="225"/>
      <c r="G232" s="225"/>
      <c r="H232" s="47"/>
    </row>
    <row r="233" spans="1:9" x14ac:dyDescent="0.2">
      <c r="A233" s="337"/>
      <c r="B233" s="47"/>
      <c r="C233" s="46"/>
      <c r="D233" s="245"/>
      <c r="E233" s="338"/>
      <c r="F233" s="225"/>
      <c r="G233" s="225"/>
      <c r="H233" s="47"/>
    </row>
    <row r="234" spans="1:9" x14ac:dyDescent="0.2">
      <c r="A234" s="337" t="s">
        <v>110</v>
      </c>
      <c r="B234" s="47" t="s">
        <v>34</v>
      </c>
      <c r="C234" s="46">
        <v>2022</v>
      </c>
      <c r="D234" s="342"/>
      <c r="E234" s="338"/>
      <c r="F234" s="247"/>
      <c r="G234" s="225">
        <v>26000</v>
      </c>
      <c r="H234" s="47"/>
    </row>
    <row r="235" spans="1:9" x14ac:dyDescent="0.2">
      <c r="A235" s="337" t="s">
        <v>110</v>
      </c>
      <c r="B235" s="47" t="s">
        <v>112</v>
      </c>
      <c r="C235" s="46" t="s">
        <v>111</v>
      </c>
      <c r="D235" s="342"/>
      <c r="E235" s="338"/>
      <c r="F235" s="247"/>
      <c r="G235" s="225">
        <v>18631.93</v>
      </c>
      <c r="H235" s="47"/>
    </row>
    <row r="236" spans="1:9" x14ac:dyDescent="0.2">
      <c r="A236" s="337" t="s">
        <v>110</v>
      </c>
      <c r="B236" s="47" t="s">
        <v>113</v>
      </c>
      <c r="C236" s="46" t="s">
        <v>20</v>
      </c>
      <c r="D236" s="245"/>
      <c r="E236" s="338"/>
      <c r="F236" s="225"/>
      <c r="G236" s="225">
        <v>920</v>
      </c>
      <c r="H236" s="47"/>
    </row>
    <row r="237" spans="1:9" x14ac:dyDescent="0.2">
      <c r="A237" s="337" t="s">
        <v>110</v>
      </c>
      <c r="B237" s="47" t="s">
        <v>21</v>
      </c>
      <c r="C237" s="47" t="s">
        <v>22</v>
      </c>
      <c r="D237" s="245"/>
      <c r="E237" s="338"/>
      <c r="F237" s="225"/>
      <c r="G237" s="225">
        <v>37.82</v>
      </c>
      <c r="H237" s="47"/>
    </row>
    <row r="238" spans="1:9" x14ac:dyDescent="0.2">
      <c r="A238" s="337" t="s">
        <v>110</v>
      </c>
      <c r="B238" s="47" t="s">
        <v>21</v>
      </c>
      <c r="C238" s="46" t="s">
        <v>23</v>
      </c>
      <c r="D238" s="342"/>
      <c r="E238" s="338"/>
      <c r="F238" s="247"/>
      <c r="G238" s="225">
        <v>37.82</v>
      </c>
      <c r="H238" s="47"/>
    </row>
    <row r="239" spans="1:9" x14ac:dyDescent="0.2">
      <c r="A239" s="337" t="s">
        <v>110</v>
      </c>
      <c r="B239" s="47" t="s">
        <v>21</v>
      </c>
      <c r="C239" s="47" t="s">
        <v>114</v>
      </c>
      <c r="D239" s="342"/>
      <c r="E239" s="338"/>
      <c r="F239" s="247"/>
      <c r="G239" s="225">
        <v>37.82</v>
      </c>
      <c r="H239" s="47"/>
    </row>
    <row r="240" spans="1:9" x14ac:dyDescent="0.2">
      <c r="A240" s="337"/>
      <c r="B240" s="47"/>
      <c r="C240" s="46"/>
      <c r="D240" s="245"/>
      <c r="E240" s="338"/>
      <c r="F240" s="225"/>
      <c r="G240" s="225"/>
      <c r="H240" s="47"/>
      <c r="I240" s="207">
        <f>F246-G246</f>
        <v>0</v>
      </c>
    </row>
    <row r="241" spans="1:9" x14ac:dyDescent="0.2">
      <c r="A241" s="337"/>
      <c r="B241" s="47"/>
      <c r="C241" s="46"/>
      <c r="D241" s="245"/>
      <c r="E241" s="338"/>
      <c r="F241" s="225"/>
      <c r="G241" s="225"/>
      <c r="H241" s="47"/>
    </row>
    <row r="242" spans="1:9" x14ac:dyDescent="0.2">
      <c r="A242" s="337"/>
      <c r="B242" s="47"/>
      <c r="C242" s="46"/>
      <c r="D242" s="342"/>
      <c r="E242" s="338"/>
      <c r="F242" s="247"/>
      <c r="G242" s="242"/>
      <c r="H242" s="47"/>
    </row>
    <row r="243" spans="1:9" x14ac:dyDescent="0.2">
      <c r="A243" s="337">
        <v>44900</v>
      </c>
      <c r="B243" s="47" t="s">
        <v>32</v>
      </c>
      <c r="C243" s="47"/>
      <c r="D243" s="342"/>
      <c r="E243" s="338"/>
      <c r="F243" s="247"/>
      <c r="G243" s="225">
        <v>13280628.67</v>
      </c>
      <c r="H243" s="47"/>
    </row>
    <row r="244" spans="1:9" x14ac:dyDescent="0.2">
      <c r="A244" s="337"/>
      <c r="B244" s="212"/>
      <c r="C244" s="47"/>
      <c r="D244" s="245"/>
      <c r="E244" s="338"/>
      <c r="F244" s="291"/>
      <c r="G244" s="291"/>
      <c r="H244" s="47"/>
    </row>
    <row r="245" spans="1:9" x14ac:dyDescent="0.2">
      <c r="A245" s="337"/>
      <c r="B245" s="212"/>
      <c r="C245" s="47"/>
      <c r="D245" s="245"/>
      <c r="E245" s="338"/>
      <c r="F245" s="225"/>
      <c r="G245" s="225"/>
      <c r="H245" s="47"/>
      <c r="I245" s="343">
        <f>+VAT!H19</f>
        <v>1829294.8829999999</v>
      </c>
    </row>
    <row r="246" spans="1:9" x14ac:dyDescent="0.2">
      <c r="A246" s="337"/>
      <c r="B246" s="212"/>
      <c r="C246" s="47"/>
      <c r="D246" s="245"/>
      <c r="E246" s="338"/>
      <c r="F246" s="225">
        <f>SUM(F225:F245)</f>
        <v>13326294.060000001</v>
      </c>
      <c r="G246" s="225">
        <f>G234+G235+G236+G237+G238+G239+G243</f>
        <v>13326294.060000001</v>
      </c>
      <c r="H246" s="47"/>
      <c r="I246" s="343">
        <f>+VAT!H37</f>
        <v>124837.47</v>
      </c>
    </row>
    <row r="247" spans="1:9" ht="15" thickBot="1" x14ac:dyDescent="0.25">
      <c r="A247" s="337"/>
      <c r="B247" s="212"/>
      <c r="C247" s="47"/>
      <c r="D247" s="245"/>
      <c r="E247" s="338"/>
      <c r="F247" s="344"/>
      <c r="G247" s="344"/>
      <c r="H247" s="47"/>
      <c r="I247" s="265">
        <f>+I245-I246</f>
        <v>1704457.4129999999</v>
      </c>
    </row>
    <row r="248" spans="1:9" ht="15" thickTop="1" x14ac:dyDescent="0.2">
      <c r="A248" s="337"/>
      <c r="B248" s="212"/>
      <c r="C248" s="47"/>
      <c r="D248" s="245"/>
      <c r="E248" s="330"/>
      <c r="F248" s="225"/>
      <c r="G248" s="291"/>
      <c r="H248" s="47"/>
    </row>
    <row r="249" spans="1:9" x14ac:dyDescent="0.2">
      <c r="A249" s="345"/>
      <c r="B249" s="234"/>
      <c r="C249" s="294"/>
      <c r="D249" s="346"/>
      <c r="E249" s="295"/>
      <c r="F249" s="295"/>
      <c r="G249" s="237"/>
      <c r="H249" s="47"/>
    </row>
    <row r="250" spans="1:9" x14ac:dyDescent="0.2">
      <c r="A250" s="347"/>
      <c r="B250" s="212"/>
      <c r="C250" s="47"/>
      <c r="D250" s="245"/>
      <c r="E250" s="214"/>
      <c r="F250" s="214"/>
      <c r="G250" s="215"/>
      <c r="H250" s="47"/>
    </row>
    <row r="251" spans="1:9" x14ac:dyDescent="0.2">
      <c r="A251" s="219"/>
      <c r="B251" s="219"/>
      <c r="C251" s="219"/>
      <c r="D251" s="245"/>
      <c r="E251" s="214"/>
      <c r="F251" s="245"/>
      <c r="G251" s="215"/>
      <c r="H251" s="47"/>
    </row>
    <row r="252" spans="1:9" x14ac:dyDescent="0.2">
      <c r="A252" s="223"/>
      <c r="B252" s="47"/>
      <c r="C252" s="47"/>
      <c r="D252" s="346"/>
      <c r="E252" s="294"/>
      <c r="F252" s="348"/>
      <c r="G252" s="296"/>
      <c r="H252" s="47"/>
    </row>
    <row r="253" spans="1:9" x14ac:dyDescent="0.2">
      <c r="A253" s="270" t="s">
        <v>4</v>
      </c>
      <c r="B253" s="218" t="s">
        <v>35</v>
      </c>
      <c r="C253" s="219"/>
      <c r="D253" s="220"/>
      <c r="E253" s="219"/>
      <c r="F253" s="220"/>
      <c r="G253" s="291"/>
      <c r="H253" s="47"/>
    </row>
    <row r="254" spans="1:9" x14ac:dyDescent="0.2">
      <c r="A254" s="223"/>
      <c r="B254" s="47"/>
      <c r="C254" s="47"/>
      <c r="D254" s="245"/>
      <c r="E254" s="338"/>
      <c r="F254" s="340"/>
      <c r="G254" s="225"/>
      <c r="H254" s="47"/>
    </row>
    <row r="255" spans="1:9" x14ac:dyDescent="0.2">
      <c r="A255" s="337">
        <v>44935</v>
      </c>
      <c r="B255" s="47" t="s">
        <v>32</v>
      </c>
      <c r="C255" s="47"/>
      <c r="D255" s="247"/>
      <c r="E255" s="338"/>
      <c r="F255" s="242">
        <f>G243</f>
        <v>13280628.67</v>
      </c>
      <c r="G255" s="225"/>
      <c r="H255" s="47"/>
    </row>
    <row r="256" spans="1:9" x14ac:dyDescent="0.2">
      <c r="A256" s="337"/>
      <c r="B256" s="47"/>
      <c r="C256" s="47"/>
      <c r="D256" s="247"/>
      <c r="E256" s="336"/>
      <c r="F256" s="242"/>
      <c r="G256" s="225"/>
      <c r="H256" s="47"/>
    </row>
    <row r="257" spans="1:9" x14ac:dyDescent="0.2">
      <c r="A257" s="349"/>
      <c r="B257" s="212" t="s">
        <v>36</v>
      </c>
      <c r="C257" s="212"/>
      <c r="D257" s="350"/>
      <c r="E257" s="351"/>
      <c r="F257" s="352"/>
      <c r="G257" s="225"/>
      <c r="H257" s="216"/>
    </row>
    <row r="258" spans="1:9" x14ac:dyDescent="0.2">
      <c r="A258" s="337"/>
      <c r="B258" s="47"/>
      <c r="C258" s="47"/>
      <c r="D258" s="215"/>
      <c r="E258" s="338"/>
      <c r="F258" s="242"/>
      <c r="G258" s="225"/>
      <c r="H258" s="216"/>
    </row>
    <row r="259" spans="1:9" x14ac:dyDescent="0.2">
      <c r="A259" s="337"/>
      <c r="B259" s="212" t="s">
        <v>37</v>
      </c>
      <c r="C259" s="47"/>
      <c r="D259" s="353">
        <f>G20+G61+G106+G157</f>
        <v>771174.71644600003</v>
      </c>
      <c r="E259" s="338"/>
      <c r="F259" s="340"/>
      <c r="G259" s="225"/>
      <c r="H259" s="216"/>
    </row>
    <row r="260" spans="1:9" x14ac:dyDescent="0.2">
      <c r="A260" s="337"/>
      <c r="B260" s="47" t="s">
        <v>38</v>
      </c>
      <c r="C260" s="47"/>
      <c r="D260" s="291">
        <f>G21+G62+G107+G158</f>
        <v>115676.2074669</v>
      </c>
      <c r="E260" s="338"/>
      <c r="F260" s="340"/>
      <c r="G260" s="225">
        <f>SUM(D258:D261)</f>
        <v>886850.92391290003</v>
      </c>
      <c r="H260" s="216"/>
    </row>
    <row r="261" spans="1:9" x14ac:dyDescent="0.2">
      <c r="A261" s="337"/>
      <c r="B261" s="212" t="s">
        <v>39</v>
      </c>
      <c r="C261" s="47"/>
      <c r="D261" s="342"/>
      <c r="E261" s="338"/>
      <c r="F261" s="340"/>
      <c r="G261" s="225">
        <f>+F215</f>
        <v>275000</v>
      </c>
      <c r="H261" s="216"/>
      <c r="I261" s="207">
        <f>+F293-G293</f>
        <v>-705374.01384816319</v>
      </c>
    </row>
    <row r="262" spans="1:9" x14ac:dyDescent="0.2">
      <c r="A262" s="337"/>
      <c r="B262" s="47" t="s">
        <v>34</v>
      </c>
      <c r="C262" s="47">
        <v>2022</v>
      </c>
      <c r="D262" s="343">
        <v>52000</v>
      </c>
      <c r="E262" s="338"/>
      <c r="F262" s="340"/>
      <c r="G262" s="225"/>
      <c r="H262" s="216"/>
    </row>
    <row r="263" spans="1:9" x14ac:dyDescent="0.2">
      <c r="A263" s="337"/>
      <c r="B263" s="47" t="s">
        <v>134</v>
      </c>
      <c r="C263" s="47">
        <v>2023</v>
      </c>
      <c r="D263" s="343">
        <v>26000</v>
      </c>
      <c r="E263" s="338"/>
      <c r="F263" s="340"/>
      <c r="G263" s="225"/>
      <c r="H263" s="216"/>
    </row>
    <row r="264" spans="1:9" ht="15" thickBot="1" x14ac:dyDescent="0.25">
      <c r="A264" s="337"/>
      <c r="B264" s="47" t="s">
        <v>100</v>
      </c>
      <c r="C264" s="47"/>
      <c r="D264" s="265">
        <f>+D262-D263</f>
        <v>26000</v>
      </c>
      <c r="E264" s="338"/>
      <c r="F264" s="340"/>
      <c r="G264" s="225">
        <f>+D264</f>
        <v>26000</v>
      </c>
      <c r="H264" s="216"/>
    </row>
    <row r="265" spans="1:9" ht="15" thickTop="1" x14ac:dyDescent="0.2">
      <c r="A265" s="337"/>
      <c r="B265" s="47" t="s">
        <v>74</v>
      </c>
      <c r="C265" s="47"/>
      <c r="D265" s="262">
        <f>+G183</f>
        <v>1030</v>
      </c>
      <c r="E265" s="338"/>
      <c r="F265" s="340"/>
      <c r="G265" s="225"/>
    </row>
    <row r="266" spans="1:9" x14ac:dyDescent="0.2">
      <c r="A266" s="337"/>
      <c r="B266" s="47" t="s">
        <v>75</v>
      </c>
      <c r="C266" s="47"/>
      <c r="D266" s="262">
        <f>+G180</f>
        <v>995.6400000000001</v>
      </c>
      <c r="E266" s="338"/>
      <c r="F266" s="340"/>
      <c r="G266" s="225"/>
    </row>
    <row r="267" spans="1:9" ht="15" thickBot="1" x14ac:dyDescent="0.25">
      <c r="A267" s="337"/>
      <c r="B267" s="47"/>
      <c r="C267" s="47"/>
      <c r="D267" s="265">
        <f>SUM(D265:D266)</f>
        <v>2025.64</v>
      </c>
      <c r="E267" s="338"/>
      <c r="F267" s="340"/>
      <c r="G267" s="225"/>
    </row>
    <row r="268" spans="1:9" ht="15" thickTop="1" x14ac:dyDescent="0.2">
      <c r="A268" s="337"/>
      <c r="B268" s="47"/>
      <c r="C268" s="47"/>
      <c r="D268" s="343"/>
      <c r="E268" s="338"/>
      <c r="F268" s="340"/>
      <c r="G268" s="225"/>
    </row>
    <row r="269" spans="1:9" x14ac:dyDescent="0.2">
      <c r="A269" s="337"/>
      <c r="B269" s="212" t="s">
        <v>135</v>
      </c>
      <c r="C269" s="47"/>
      <c r="D269" s="343"/>
      <c r="E269" s="338"/>
      <c r="F269" s="340"/>
      <c r="G269" s="225"/>
    </row>
    <row r="270" spans="1:9" x14ac:dyDescent="0.2">
      <c r="A270" s="337"/>
      <c r="B270" s="47" t="s">
        <v>136</v>
      </c>
      <c r="C270" s="47"/>
      <c r="D270" s="343">
        <v>6914.1</v>
      </c>
      <c r="E270" s="338"/>
      <c r="F270" s="340"/>
      <c r="G270" s="225">
        <v>6914.1</v>
      </c>
    </row>
    <row r="271" spans="1:9" x14ac:dyDescent="0.2">
      <c r="A271" s="337"/>
      <c r="B271" s="47"/>
      <c r="C271" s="47"/>
      <c r="D271" s="343"/>
      <c r="E271" s="338"/>
      <c r="F271" s="340"/>
      <c r="G271" s="225"/>
    </row>
    <row r="272" spans="1:9" x14ac:dyDescent="0.2">
      <c r="A272" s="337"/>
      <c r="B272" s="212" t="s">
        <v>103</v>
      </c>
      <c r="C272" s="47"/>
      <c r="D272" s="343"/>
      <c r="E272" s="338"/>
      <c r="F272" s="340"/>
      <c r="G272" s="225"/>
    </row>
    <row r="273" spans="1:9" x14ac:dyDescent="0.2">
      <c r="A273" s="337"/>
      <c r="B273" s="47" t="s">
        <v>137</v>
      </c>
      <c r="C273" s="47"/>
      <c r="D273" s="343">
        <v>35118.19</v>
      </c>
      <c r="E273" s="338"/>
      <c r="F273" s="340"/>
      <c r="G273" s="225">
        <v>35118.19</v>
      </c>
    </row>
    <row r="274" spans="1:9" x14ac:dyDescent="0.2">
      <c r="A274" s="337"/>
      <c r="B274" s="47"/>
      <c r="C274" s="47"/>
      <c r="D274" s="343"/>
      <c r="E274" s="338"/>
      <c r="F274" s="340"/>
      <c r="G274" s="225"/>
    </row>
    <row r="275" spans="1:9" x14ac:dyDescent="0.2">
      <c r="A275" s="337"/>
      <c r="B275" s="212" t="s">
        <v>138</v>
      </c>
      <c r="C275" s="47"/>
      <c r="D275" s="343"/>
      <c r="E275" s="338"/>
      <c r="F275" s="340"/>
      <c r="G275" s="225"/>
    </row>
    <row r="276" spans="1:9" x14ac:dyDescent="0.2">
      <c r="A276" s="337"/>
      <c r="B276" s="47" t="s">
        <v>139</v>
      </c>
      <c r="C276" s="47"/>
      <c r="D276" s="343"/>
      <c r="E276" s="338"/>
      <c r="F276" s="340"/>
      <c r="G276" s="225">
        <v>400</v>
      </c>
    </row>
    <row r="277" spans="1:9" x14ac:dyDescent="0.2">
      <c r="A277" s="337"/>
      <c r="B277" s="47"/>
      <c r="C277" s="47"/>
      <c r="D277" s="343"/>
      <c r="E277" s="338"/>
      <c r="F277" s="340"/>
      <c r="G277" s="225"/>
    </row>
    <row r="278" spans="1:9" x14ac:dyDescent="0.2">
      <c r="A278" s="337"/>
      <c r="B278" s="212" t="s">
        <v>140</v>
      </c>
      <c r="C278" s="47"/>
      <c r="D278" s="343"/>
      <c r="E278" s="338"/>
      <c r="F278" s="340"/>
      <c r="G278" s="225"/>
    </row>
    <row r="279" spans="1:9" x14ac:dyDescent="0.2">
      <c r="A279" s="337"/>
      <c r="B279" s="47" t="s">
        <v>141</v>
      </c>
      <c r="C279" s="47"/>
      <c r="D279" s="343">
        <v>15000</v>
      </c>
      <c r="E279" s="338"/>
      <c r="F279" s="340"/>
      <c r="G279" s="225">
        <v>15000</v>
      </c>
    </row>
    <row r="280" spans="1:9" x14ac:dyDescent="0.2">
      <c r="A280" s="337"/>
      <c r="B280" s="47"/>
      <c r="C280" s="47"/>
      <c r="D280" s="343"/>
      <c r="E280" s="338"/>
      <c r="F280" s="340"/>
      <c r="G280" s="225"/>
    </row>
    <row r="281" spans="1:9" x14ac:dyDescent="0.2">
      <c r="A281" s="337"/>
      <c r="B281" s="47" t="s">
        <v>179</v>
      </c>
      <c r="C281" s="47"/>
      <c r="D281" s="343"/>
      <c r="E281" s="338"/>
      <c r="F281" s="340"/>
      <c r="G281" s="225">
        <v>1704457.41</v>
      </c>
    </row>
    <row r="282" spans="1:9" x14ac:dyDescent="0.2">
      <c r="A282" s="337"/>
      <c r="B282" s="279"/>
      <c r="C282" s="47"/>
      <c r="D282" s="343"/>
      <c r="E282" s="338"/>
      <c r="F282" s="340"/>
      <c r="G282" s="225"/>
    </row>
    <row r="283" spans="1:9" x14ac:dyDescent="0.2">
      <c r="A283" s="337"/>
      <c r="B283" s="47" t="s">
        <v>180</v>
      </c>
      <c r="C283" s="47" t="s">
        <v>181</v>
      </c>
      <c r="D283" s="343">
        <f>G39</f>
        <v>7436327.1802790733</v>
      </c>
      <c r="E283" s="338"/>
      <c r="F283" s="340"/>
      <c r="G283" s="225">
        <f>G39</f>
        <v>7436327.1802790733</v>
      </c>
    </row>
    <row r="284" spans="1:9" x14ac:dyDescent="0.2">
      <c r="A284" s="337"/>
      <c r="B284" s="47" t="s">
        <v>182</v>
      </c>
      <c r="C284" s="47" t="s">
        <v>181</v>
      </c>
      <c r="D284" s="343">
        <f>G85</f>
        <v>2595850.71</v>
      </c>
      <c r="E284" s="338"/>
      <c r="F284" s="340"/>
      <c r="G284" s="225">
        <f>D284</f>
        <v>2595850.71</v>
      </c>
      <c r="I284" s="208">
        <f>SUM(G260:G281)</f>
        <v>2949740.6239128998</v>
      </c>
    </row>
    <row r="285" spans="1:9" x14ac:dyDescent="0.2">
      <c r="A285" s="337"/>
      <c r="B285" s="47" t="s">
        <v>183</v>
      </c>
      <c r="C285" s="47" t="s">
        <v>181</v>
      </c>
      <c r="D285" s="343">
        <f>G127</f>
        <v>826288.54965619021</v>
      </c>
      <c r="E285" s="338"/>
      <c r="F285" s="340"/>
      <c r="G285" s="225">
        <f>D285</f>
        <v>826288.54965619021</v>
      </c>
    </row>
    <row r="286" spans="1:9" x14ac:dyDescent="0.2">
      <c r="A286" s="337"/>
      <c r="B286" s="47"/>
      <c r="C286" s="47"/>
      <c r="D286" s="343"/>
      <c r="E286" s="338"/>
      <c r="F286" s="340"/>
      <c r="G286" s="225"/>
    </row>
    <row r="287" spans="1:9" x14ac:dyDescent="0.2">
      <c r="A287" s="337"/>
      <c r="B287" s="212" t="s">
        <v>185</v>
      </c>
      <c r="C287" s="47"/>
      <c r="D287" s="343"/>
      <c r="E287" s="338"/>
      <c r="F287" s="340"/>
      <c r="G287" s="225"/>
    </row>
    <row r="288" spans="1:9" x14ac:dyDescent="0.2">
      <c r="A288" s="337"/>
      <c r="B288" s="47"/>
      <c r="C288" s="47"/>
      <c r="D288" s="343"/>
      <c r="E288" s="338"/>
      <c r="F288" s="340"/>
      <c r="G288" s="225"/>
    </row>
    <row r="289" spans="1:7" x14ac:dyDescent="0.2">
      <c r="A289" s="337"/>
      <c r="B289" s="47" t="s">
        <v>184</v>
      </c>
      <c r="C289" s="47"/>
      <c r="D289" s="343">
        <v>177795.62</v>
      </c>
      <c r="E289" s="338"/>
      <c r="F289" s="340"/>
      <c r="G289" s="225">
        <v>177795.62</v>
      </c>
    </row>
    <row r="290" spans="1:7" x14ac:dyDescent="0.2">
      <c r="A290" s="337"/>
      <c r="B290" s="47"/>
      <c r="C290" s="47"/>
      <c r="D290" s="343"/>
      <c r="E290" s="338"/>
      <c r="F290" s="340"/>
      <c r="G290" s="225"/>
    </row>
    <row r="291" spans="1:7" x14ac:dyDescent="0.2">
      <c r="A291" s="337"/>
      <c r="B291" s="47"/>
      <c r="C291" s="47"/>
      <c r="D291" s="343"/>
      <c r="E291" s="338"/>
      <c r="F291" s="340"/>
      <c r="G291" s="225"/>
    </row>
    <row r="292" spans="1:7" x14ac:dyDescent="0.2">
      <c r="A292" s="337"/>
      <c r="B292" s="354"/>
      <c r="C292" s="354"/>
      <c r="D292" s="225"/>
      <c r="E292" s="355"/>
      <c r="F292" s="238"/>
      <c r="G292" s="296"/>
    </row>
    <row r="293" spans="1:7" x14ac:dyDescent="0.2">
      <c r="A293" s="337"/>
      <c r="B293" s="354"/>
      <c r="C293" s="354"/>
      <c r="D293" s="215"/>
      <c r="E293" s="356"/>
      <c r="F293" s="225">
        <f>SUM(F254:F258)</f>
        <v>13280628.67</v>
      </c>
      <c r="G293" s="225">
        <f>G260+G261+G264+G270+G273+G276+G281+G279+G283+G285+G284+G289</f>
        <v>13986002.683848163</v>
      </c>
    </row>
    <row r="294" spans="1:7" ht="15" thickBot="1" x14ac:dyDescent="0.25">
      <c r="A294" s="337"/>
      <c r="B294" s="357"/>
      <c r="C294" s="354"/>
      <c r="D294" s="225"/>
      <c r="E294" s="356"/>
      <c r="F294" s="344"/>
      <c r="G294" s="344"/>
    </row>
    <row r="295" spans="1:7" ht="15" thickTop="1" x14ac:dyDescent="0.2">
      <c r="A295" s="358"/>
      <c r="B295" s="271"/>
      <c r="C295" s="219"/>
      <c r="D295" s="272"/>
      <c r="E295" s="221"/>
      <c r="F295" s="220"/>
      <c r="G295" s="274"/>
    </row>
    <row r="296" spans="1:7" x14ac:dyDescent="0.2">
      <c r="A296" s="347"/>
      <c r="B296" s="47"/>
      <c r="C296" s="47"/>
      <c r="D296" s="216"/>
      <c r="E296" s="47"/>
      <c r="F296" s="245"/>
      <c r="G296" s="215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&amp;C&amp;P
</oddHeader>
    <oddFooter>&amp;C202223-1057.Paper2Summative</oddFooter>
  </headerFooter>
  <rowBreaks count="4" manualBreakCount="4">
    <brk id="45" max="16383" man="1"/>
    <brk id="93" max="16383" man="1"/>
    <brk id="141" max="16383" man="1"/>
    <brk id="215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60"/>
  <sheetViews>
    <sheetView zoomScale="110" zoomScaleNormal="110" zoomScaleSheetLayoutView="100" workbookViewId="0">
      <selection activeCell="H54" sqref="H54"/>
    </sheetView>
  </sheetViews>
  <sheetFormatPr defaultRowHeight="15" x14ac:dyDescent="0.25"/>
  <cols>
    <col min="1" max="1" width="7.140625" style="109" customWidth="1"/>
    <col min="2" max="2" width="20.140625" style="109" customWidth="1"/>
    <col min="3" max="3" width="17.42578125" style="109" customWidth="1"/>
    <col min="4" max="7" width="15.42578125" style="109" customWidth="1"/>
    <col min="8" max="8" width="13.85546875" style="109" customWidth="1"/>
    <col min="9" max="10" width="15.42578125" style="109" customWidth="1"/>
    <col min="11" max="11" width="9.140625" style="109"/>
    <col min="12" max="12" width="11.7109375" style="109" bestFit="1" customWidth="1"/>
    <col min="13" max="16384" width="9.140625" style="109"/>
  </cols>
  <sheetData>
    <row r="1" spans="1:10" ht="15.75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" x14ac:dyDescent="0.25">
      <c r="A2" s="16" t="s">
        <v>42</v>
      </c>
      <c r="B2" s="11"/>
      <c r="C2" s="110"/>
      <c r="D2" s="111"/>
      <c r="E2" s="111"/>
      <c r="F2" s="111"/>
      <c r="G2" s="112"/>
      <c r="H2" s="44"/>
      <c r="I2" s="113"/>
      <c r="J2" s="114"/>
    </row>
    <row r="3" spans="1:10" x14ac:dyDescent="0.25">
      <c r="A3" s="17"/>
      <c r="B3" s="4" t="str">
        <f>+'F Page'!C8</f>
        <v xml:space="preserve">VALLEYGROVE FARMS (PTY) LTD (IN LIQUIDATION) </v>
      </c>
      <c r="C3" s="51"/>
      <c r="D3" s="51"/>
      <c r="E3" s="51"/>
      <c r="F3" s="51"/>
      <c r="G3" s="4" t="s">
        <v>43</v>
      </c>
      <c r="H3" s="115">
        <f>+'F Page'!G19</f>
        <v>0</v>
      </c>
      <c r="I3" s="51"/>
      <c r="J3" s="116"/>
    </row>
    <row r="4" spans="1:10" x14ac:dyDescent="0.25">
      <c r="A4" s="17"/>
      <c r="B4" s="45" t="s">
        <v>41</v>
      </c>
      <c r="C4" s="117" t="str">
        <f>+'F Page'!F12</f>
        <v>18/09/2022</v>
      </c>
      <c r="D4" s="51"/>
      <c r="E4" s="51"/>
      <c r="F4" s="115"/>
      <c r="G4" s="51" t="s">
        <v>166</v>
      </c>
      <c r="H4" s="118"/>
      <c r="I4" s="119">
        <f>Likw!G199</f>
        <v>177795.62</v>
      </c>
      <c r="J4" s="116"/>
    </row>
    <row r="5" spans="1:10" ht="15.75" thickBot="1" x14ac:dyDescent="0.3">
      <c r="A5" s="120"/>
      <c r="B5" s="121"/>
      <c r="C5" s="122"/>
      <c r="D5" s="123"/>
      <c r="E5" s="123"/>
      <c r="F5" s="124"/>
      <c r="G5" s="124"/>
      <c r="H5" s="124"/>
      <c r="I5" s="124"/>
      <c r="J5" s="125"/>
    </row>
    <row r="6" spans="1:10" x14ac:dyDescent="0.25">
      <c r="A6" s="126"/>
      <c r="B6" s="51"/>
      <c r="C6" s="50"/>
      <c r="D6" s="127"/>
      <c r="E6" s="127"/>
      <c r="F6" s="127"/>
      <c r="G6" s="127"/>
      <c r="H6" s="127"/>
      <c r="I6" s="128"/>
      <c r="J6" s="129"/>
    </row>
    <row r="7" spans="1:10" x14ac:dyDescent="0.25">
      <c r="A7" s="18" t="s">
        <v>45</v>
      </c>
      <c r="B7" s="12" t="s">
        <v>46</v>
      </c>
      <c r="C7" s="13" t="s">
        <v>47</v>
      </c>
      <c r="D7" s="9" t="s">
        <v>48</v>
      </c>
      <c r="E7" s="9" t="s">
        <v>49</v>
      </c>
      <c r="F7" s="9" t="s">
        <v>50</v>
      </c>
      <c r="G7" s="49" t="s">
        <v>48</v>
      </c>
      <c r="H7" s="9" t="s">
        <v>51</v>
      </c>
      <c r="I7" s="19" t="s">
        <v>52</v>
      </c>
      <c r="J7" s="10" t="s">
        <v>53</v>
      </c>
    </row>
    <row r="8" spans="1:10" x14ac:dyDescent="0.25">
      <c r="A8" s="18"/>
      <c r="B8" s="12" t="s">
        <v>54</v>
      </c>
      <c r="C8" s="13" t="s">
        <v>55</v>
      </c>
      <c r="D8" s="14" t="s">
        <v>56</v>
      </c>
      <c r="E8" s="9" t="s">
        <v>55</v>
      </c>
      <c r="F8" s="9"/>
      <c r="G8" s="13" t="s">
        <v>57</v>
      </c>
      <c r="H8" s="9" t="s">
        <v>58</v>
      </c>
      <c r="I8" s="19" t="s">
        <v>40</v>
      </c>
      <c r="J8" s="10"/>
    </row>
    <row r="9" spans="1:10" ht="15.75" thickBot="1" x14ac:dyDescent="0.3">
      <c r="A9" s="130"/>
      <c r="B9" s="131"/>
      <c r="C9" s="132"/>
      <c r="D9" s="131"/>
      <c r="E9" s="131"/>
      <c r="F9" s="131"/>
      <c r="G9" s="132"/>
      <c r="H9" s="131"/>
      <c r="I9" s="133"/>
      <c r="J9" s="134"/>
    </row>
    <row r="10" spans="1:10" x14ac:dyDescent="0.25">
      <c r="A10" s="126"/>
      <c r="B10" s="53"/>
      <c r="C10" s="135"/>
      <c r="D10" s="161"/>
      <c r="E10" s="162"/>
      <c r="F10" s="161"/>
      <c r="G10" s="163"/>
      <c r="H10" s="164"/>
      <c r="I10" s="163"/>
      <c r="J10" s="165"/>
    </row>
    <row r="11" spans="1:10" x14ac:dyDescent="0.25">
      <c r="A11" s="126"/>
      <c r="B11" s="50" t="s">
        <v>115</v>
      </c>
      <c r="C11" s="8" t="s">
        <v>116</v>
      </c>
      <c r="D11" s="166"/>
      <c r="E11" s="167"/>
      <c r="F11" s="166"/>
      <c r="G11" s="168"/>
      <c r="H11" s="169"/>
      <c r="I11" s="168"/>
      <c r="J11" s="170"/>
    </row>
    <row r="12" spans="1:10" x14ac:dyDescent="0.25">
      <c r="A12" s="126">
        <v>1</v>
      </c>
      <c r="B12" s="50"/>
      <c r="C12" s="8" t="s">
        <v>117</v>
      </c>
      <c r="D12" s="166">
        <f>Likw!D38</f>
        <v>8946765.3200000003</v>
      </c>
      <c r="E12" s="167">
        <f>F12-G12</f>
        <v>1510438.139720927</v>
      </c>
      <c r="F12" s="166">
        <v>8946765.3200000003</v>
      </c>
      <c r="G12" s="168">
        <f>Likw!D39</f>
        <v>7436327.1802790733</v>
      </c>
      <c r="H12" s="171">
        <f>E12*I4/E54</f>
        <v>97389.48469609629</v>
      </c>
      <c r="I12" s="168">
        <f>G12+H12</f>
        <v>7533716.66497517</v>
      </c>
      <c r="J12" s="170">
        <f>I12-F12</f>
        <v>-1413048.6550248303</v>
      </c>
    </row>
    <row r="13" spans="1:10" x14ac:dyDescent="0.25">
      <c r="A13" s="126"/>
      <c r="B13" s="50"/>
      <c r="C13" s="127"/>
      <c r="D13" s="172"/>
      <c r="E13" s="167"/>
      <c r="F13" s="172"/>
      <c r="G13" s="168"/>
      <c r="H13" s="169"/>
      <c r="I13" s="168"/>
      <c r="J13" s="170"/>
    </row>
    <row r="14" spans="1:10" x14ac:dyDescent="0.25">
      <c r="A14" s="126"/>
      <c r="B14" s="53"/>
      <c r="C14" s="127"/>
      <c r="D14" s="172"/>
      <c r="E14" s="167"/>
      <c r="F14" s="172"/>
      <c r="G14" s="168"/>
      <c r="H14" s="169"/>
      <c r="I14" s="168"/>
      <c r="J14" s="170"/>
    </row>
    <row r="15" spans="1:10" x14ac:dyDescent="0.25">
      <c r="A15" s="136"/>
      <c r="B15" s="137"/>
      <c r="C15" s="138"/>
      <c r="D15" s="173"/>
      <c r="E15" s="174"/>
      <c r="F15" s="173"/>
      <c r="G15" s="175"/>
      <c r="H15" s="176"/>
      <c r="I15" s="175"/>
      <c r="J15" s="177"/>
    </row>
    <row r="16" spans="1:10" x14ac:dyDescent="0.25">
      <c r="A16" s="126"/>
      <c r="B16" s="53"/>
      <c r="C16" s="135"/>
      <c r="D16" s="161"/>
      <c r="E16" s="162"/>
      <c r="F16" s="161"/>
      <c r="G16" s="163"/>
      <c r="H16" s="164"/>
      <c r="I16" s="163"/>
      <c r="J16" s="165"/>
    </row>
    <row r="17" spans="1:12" x14ac:dyDescent="0.25">
      <c r="A17" s="126">
        <v>2</v>
      </c>
      <c r="B17" s="139" t="s">
        <v>118</v>
      </c>
      <c r="C17" s="140" t="s">
        <v>119</v>
      </c>
      <c r="D17" s="166"/>
      <c r="E17" s="167"/>
      <c r="F17" s="166"/>
      <c r="G17" s="168"/>
      <c r="H17" s="169"/>
      <c r="I17" s="168"/>
      <c r="J17" s="170"/>
    </row>
    <row r="18" spans="1:12" x14ac:dyDescent="0.25">
      <c r="A18" s="126"/>
      <c r="B18" s="50"/>
      <c r="C18" s="8" t="s">
        <v>120</v>
      </c>
      <c r="D18" s="166">
        <f>Likw!D84</f>
        <v>3463678.47</v>
      </c>
      <c r="E18" s="167">
        <f>F18-G18</f>
        <v>607196.18000000017</v>
      </c>
      <c r="F18" s="166">
        <v>3203046.89</v>
      </c>
      <c r="G18" s="168">
        <f>Likw!D85</f>
        <v>2595850.71</v>
      </c>
      <c r="H18" s="171">
        <f>E18*I4/E54</f>
        <v>39150.575931937216</v>
      </c>
      <c r="I18" s="168">
        <f>G18+H18</f>
        <v>2635001.2859319374</v>
      </c>
      <c r="J18" s="170">
        <f>I18-F18</f>
        <v>-568045.60406806273</v>
      </c>
    </row>
    <row r="19" spans="1:12" x14ac:dyDescent="0.25">
      <c r="A19" s="126"/>
      <c r="B19" s="50"/>
      <c r="C19" s="127" t="s">
        <v>121</v>
      </c>
      <c r="D19" s="172"/>
      <c r="E19" s="167"/>
      <c r="F19" s="172"/>
      <c r="G19" s="168"/>
      <c r="H19" s="169"/>
      <c r="I19" s="168"/>
      <c r="J19" s="170"/>
    </row>
    <row r="20" spans="1:12" x14ac:dyDescent="0.25">
      <c r="A20" s="126"/>
      <c r="B20" s="141"/>
      <c r="C20" s="127" t="s">
        <v>122</v>
      </c>
      <c r="D20" s="172"/>
      <c r="E20" s="167"/>
      <c r="F20" s="172"/>
      <c r="G20" s="168"/>
      <c r="H20" s="169"/>
      <c r="I20" s="168"/>
      <c r="J20" s="170"/>
    </row>
    <row r="21" spans="1:12" x14ac:dyDescent="0.25">
      <c r="A21" s="136"/>
      <c r="B21" s="142"/>
      <c r="C21" s="138"/>
      <c r="D21" s="173"/>
      <c r="E21" s="174"/>
      <c r="F21" s="173"/>
      <c r="G21" s="175"/>
      <c r="H21" s="176"/>
      <c r="I21" s="175"/>
      <c r="J21" s="177"/>
    </row>
    <row r="22" spans="1:12" x14ac:dyDescent="0.25">
      <c r="A22" s="126"/>
      <c r="B22" s="53"/>
      <c r="C22" s="135"/>
      <c r="D22" s="161"/>
      <c r="E22" s="162"/>
      <c r="F22" s="161"/>
      <c r="G22" s="163"/>
      <c r="H22" s="164"/>
      <c r="I22" s="163"/>
      <c r="J22" s="165"/>
    </row>
    <row r="23" spans="1:12" x14ac:dyDescent="0.25">
      <c r="A23" s="126">
        <v>3</v>
      </c>
      <c r="B23" s="139" t="s">
        <v>123</v>
      </c>
      <c r="C23" s="140" t="s">
        <v>124</v>
      </c>
      <c r="D23" s="166"/>
      <c r="E23" s="167"/>
      <c r="F23" s="166"/>
      <c r="G23" s="168"/>
      <c r="H23" s="169"/>
      <c r="I23" s="168"/>
      <c r="J23" s="170"/>
    </row>
    <row r="24" spans="1:12" x14ac:dyDescent="0.25">
      <c r="A24" s="126"/>
      <c r="B24" s="50"/>
      <c r="C24" s="8" t="s">
        <v>86</v>
      </c>
      <c r="D24" s="166">
        <v>0</v>
      </c>
      <c r="E24" s="167">
        <f>F24</f>
        <v>17410.61</v>
      </c>
      <c r="F24" s="166">
        <v>17410.61</v>
      </c>
      <c r="G24" s="168">
        <v>0</v>
      </c>
      <c r="H24" s="171">
        <f>E24*I4/E54</f>
        <v>1122.5950216392093</v>
      </c>
      <c r="I24" s="168">
        <f>H24</f>
        <v>1122.5950216392093</v>
      </c>
      <c r="J24" s="170">
        <f>I24-F24</f>
        <v>-16288.014978360792</v>
      </c>
    </row>
    <row r="25" spans="1:12" x14ac:dyDescent="0.25">
      <c r="A25" s="136"/>
      <c r="B25" s="137"/>
      <c r="C25" s="138"/>
      <c r="D25" s="173"/>
      <c r="E25" s="174"/>
      <c r="F25" s="173"/>
      <c r="G25" s="175"/>
      <c r="H25" s="176"/>
      <c r="I25" s="175"/>
      <c r="J25" s="177"/>
    </row>
    <row r="26" spans="1:12" x14ac:dyDescent="0.25">
      <c r="A26" s="126"/>
      <c r="B26" s="50"/>
      <c r="C26" s="127"/>
      <c r="D26" s="172"/>
      <c r="E26" s="167"/>
      <c r="F26" s="172"/>
      <c r="G26" s="168"/>
      <c r="H26" s="169"/>
      <c r="I26" s="168"/>
      <c r="J26" s="170"/>
    </row>
    <row r="27" spans="1:12" x14ac:dyDescent="0.25">
      <c r="A27" s="126">
        <v>4</v>
      </c>
      <c r="B27" s="139" t="s">
        <v>125</v>
      </c>
      <c r="C27" s="127" t="s">
        <v>126</v>
      </c>
      <c r="D27" s="172">
        <f>Likw!D126</f>
        <v>1261052.55</v>
      </c>
      <c r="E27" s="167">
        <f>F27-G27</f>
        <v>434764.00034380984</v>
      </c>
      <c r="F27" s="172">
        <v>1261052.55</v>
      </c>
      <c r="G27" s="168">
        <f>Likw!D127</f>
        <v>826288.54965619021</v>
      </c>
      <c r="H27" s="171">
        <f>E27*I4/E54</f>
        <v>28032.556146735144</v>
      </c>
      <c r="I27" s="168">
        <f>H27+G27</f>
        <v>854321.1058029253</v>
      </c>
      <c r="J27" s="170">
        <f>I27-F27</f>
        <v>-406731.44419707474</v>
      </c>
    </row>
    <row r="28" spans="1:12" x14ac:dyDescent="0.25">
      <c r="A28" s="126"/>
      <c r="B28" s="139"/>
      <c r="C28" s="127" t="s">
        <v>117</v>
      </c>
      <c r="D28" s="172"/>
      <c r="E28" s="167"/>
      <c r="F28" s="172"/>
      <c r="G28" s="168"/>
      <c r="H28" s="169"/>
      <c r="I28" s="168"/>
      <c r="J28" s="170"/>
    </row>
    <row r="29" spans="1:12" x14ac:dyDescent="0.25">
      <c r="A29" s="136"/>
      <c r="B29" s="142"/>
      <c r="C29" s="138"/>
      <c r="D29" s="173"/>
      <c r="E29" s="174"/>
      <c r="F29" s="173"/>
      <c r="G29" s="175"/>
      <c r="H29" s="176"/>
      <c r="I29" s="175"/>
      <c r="J29" s="177"/>
    </row>
    <row r="30" spans="1:12" x14ac:dyDescent="0.25">
      <c r="A30" s="143"/>
      <c r="B30" s="4"/>
      <c r="C30" s="144"/>
      <c r="D30" s="172"/>
      <c r="E30" s="167"/>
      <c r="F30" s="172"/>
      <c r="G30" s="168"/>
      <c r="H30" s="169"/>
      <c r="I30" s="168"/>
      <c r="J30" s="170"/>
      <c r="L30" s="145"/>
    </row>
    <row r="31" spans="1:12" x14ac:dyDescent="0.25">
      <c r="A31" s="143">
        <v>5</v>
      </c>
      <c r="B31" s="51" t="s">
        <v>127</v>
      </c>
      <c r="C31" s="127" t="s">
        <v>128</v>
      </c>
      <c r="D31" s="172"/>
      <c r="E31" s="167"/>
      <c r="F31" s="172">
        <v>137186.64000000001</v>
      </c>
      <c r="G31" s="168">
        <v>137186.64000000001</v>
      </c>
      <c r="H31" s="169"/>
      <c r="I31" s="168">
        <f>G31</f>
        <v>137186.64000000001</v>
      </c>
      <c r="J31" s="170">
        <f>I31-F31</f>
        <v>0</v>
      </c>
    </row>
    <row r="32" spans="1:12" x14ac:dyDescent="0.25">
      <c r="A32" s="146"/>
      <c r="B32" s="147"/>
      <c r="C32" s="138"/>
      <c r="D32" s="173"/>
      <c r="E32" s="174"/>
      <c r="F32" s="173"/>
      <c r="G32" s="175"/>
      <c r="H32" s="176"/>
      <c r="I32" s="175"/>
      <c r="J32" s="177"/>
    </row>
    <row r="33" spans="1:10" x14ac:dyDescent="0.25">
      <c r="A33" s="143"/>
      <c r="B33" s="4"/>
      <c r="C33" s="144"/>
      <c r="D33" s="172"/>
      <c r="E33" s="167"/>
      <c r="F33" s="172"/>
      <c r="G33" s="168"/>
      <c r="H33" s="169"/>
      <c r="I33" s="168"/>
      <c r="J33" s="170"/>
    </row>
    <row r="34" spans="1:10" x14ac:dyDescent="0.25">
      <c r="A34" s="143">
        <v>6</v>
      </c>
      <c r="B34" s="51" t="s">
        <v>129</v>
      </c>
      <c r="C34" s="127" t="s">
        <v>130</v>
      </c>
      <c r="D34" s="172"/>
      <c r="E34" s="167">
        <f>F34</f>
        <v>3668.29</v>
      </c>
      <c r="F34" s="172">
        <v>3668.29</v>
      </c>
      <c r="G34" s="168"/>
      <c r="H34" s="169">
        <f>E34*I4/E54</f>
        <v>236.52267737482458</v>
      </c>
      <c r="I34" s="168">
        <f>H34</f>
        <v>236.52267737482458</v>
      </c>
      <c r="J34" s="170">
        <f>I34-E34</f>
        <v>-3431.7673226251754</v>
      </c>
    </row>
    <row r="35" spans="1:10" x14ac:dyDescent="0.25">
      <c r="A35" s="146"/>
      <c r="B35" s="147"/>
      <c r="C35" s="138"/>
      <c r="D35" s="173"/>
      <c r="E35" s="174"/>
      <c r="F35" s="173"/>
      <c r="G35" s="175"/>
      <c r="H35" s="176"/>
      <c r="I35" s="175"/>
      <c r="J35" s="177"/>
    </row>
    <row r="36" spans="1:10" x14ac:dyDescent="0.25">
      <c r="A36" s="143"/>
      <c r="B36" s="4"/>
      <c r="C36" s="144"/>
      <c r="D36" s="172"/>
      <c r="E36" s="167"/>
      <c r="F36" s="172"/>
      <c r="G36" s="168"/>
      <c r="H36" s="169"/>
      <c r="I36" s="168"/>
      <c r="J36" s="170"/>
    </row>
    <row r="37" spans="1:10" x14ac:dyDescent="0.25">
      <c r="A37" s="143">
        <v>7</v>
      </c>
      <c r="B37" s="51" t="s">
        <v>131</v>
      </c>
      <c r="C37" s="148" t="s">
        <v>168</v>
      </c>
      <c r="D37" s="172"/>
      <c r="E37" s="167">
        <f>F37-G37</f>
        <v>36000</v>
      </c>
      <c r="F37" s="172">
        <v>54000</v>
      </c>
      <c r="G37" s="168">
        <v>18000</v>
      </c>
      <c r="H37" s="169">
        <f>E37*I4/E54</f>
        <v>2321.1949942599103</v>
      </c>
      <c r="I37" s="168">
        <f>G37+H37</f>
        <v>20321.194994259909</v>
      </c>
      <c r="J37" s="170">
        <f>I37-F37</f>
        <v>-33678.805005740091</v>
      </c>
    </row>
    <row r="38" spans="1:10" x14ac:dyDescent="0.25">
      <c r="A38" s="143"/>
      <c r="B38" s="51" t="s">
        <v>167</v>
      </c>
      <c r="C38" s="8"/>
      <c r="D38" s="172"/>
      <c r="E38" s="167"/>
      <c r="F38" s="172"/>
      <c r="G38" s="168"/>
      <c r="H38" s="169"/>
      <c r="I38" s="168"/>
      <c r="J38" s="170"/>
    </row>
    <row r="39" spans="1:10" x14ac:dyDescent="0.25">
      <c r="A39" s="146"/>
      <c r="B39" s="147"/>
      <c r="C39" s="6"/>
      <c r="D39" s="173"/>
      <c r="E39" s="174"/>
      <c r="F39" s="173"/>
      <c r="G39" s="175"/>
      <c r="H39" s="176"/>
      <c r="I39" s="175"/>
      <c r="J39" s="177"/>
    </row>
    <row r="40" spans="1:10" x14ac:dyDescent="0.25">
      <c r="A40" s="143"/>
      <c r="B40" s="149"/>
      <c r="C40" s="51"/>
      <c r="D40" s="172"/>
      <c r="E40" s="167"/>
      <c r="F40" s="172"/>
      <c r="G40" s="168"/>
      <c r="H40" s="169"/>
      <c r="I40" s="168"/>
      <c r="J40" s="170"/>
    </row>
    <row r="41" spans="1:10" x14ac:dyDescent="0.25">
      <c r="A41" s="143">
        <v>8</v>
      </c>
      <c r="B41" s="150" t="s">
        <v>132</v>
      </c>
      <c r="C41" s="151" t="s">
        <v>169</v>
      </c>
      <c r="D41" s="172"/>
      <c r="E41" s="167">
        <f>F41-G41</f>
        <v>88000</v>
      </c>
      <c r="F41" s="172">
        <v>100000</v>
      </c>
      <c r="G41" s="168">
        <v>12000</v>
      </c>
      <c r="H41" s="169">
        <f>E41*I4/E54</f>
        <v>5674.0322081908917</v>
      </c>
      <c r="I41" s="168">
        <f>G41+H41</f>
        <v>17674.032208190893</v>
      </c>
      <c r="J41" s="170">
        <f>I41-F41</f>
        <v>-82325.967791809104</v>
      </c>
    </row>
    <row r="42" spans="1:10" x14ac:dyDescent="0.25">
      <c r="A42" s="143"/>
      <c r="B42" s="150" t="s">
        <v>171</v>
      </c>
      <c r="C42" s="128" t="s">
        <v>170</v>
      </c>
      <c r="D42" s="172"/>
      <c r="E42" s="169"/>
      <c r="F42" s="172"/>
      <c r="G42" s="178"/>
      <c r="H42" s="169"/>
      <c r="I42" s="179"/>
      <c r="J42" s="170"/>
    </row>
    <row r="43" spans="1:10" x14ac:dyDescent="0.25">
      <c r="A43" s="146"/>
      <c r="B43" s="152"/>
      <c r="C43" s="5"/>
      <c r="D43" s="173"/>
      <c r="E43" s="174"/>
      <c r="F43" s="173"/>
      <c r="G43" s="175"/>
      <c r="H43" s="176"/>
      <c r="I43" s="175"/>
      <c r="J43" s="177"/>
    </row>
    <row r="44" spans="1:10" x14ac:dyDescent="0.25">
      <c r="A44" s="143"/>
      <c r="B44" s="149"/>
      <c r="C44" s="2"/>
      <c r="D44" s="172"/>
      <c r="E44" s="167"/>
      <c r="F44" s="172"/>
      <c r="G44" s="168"/>
      <c r="H44" s="169"/>
      <c r="I44" s="168"/>
      <c r="J44" s="170"/>
    </row>
    <row r="45" spans="1:10" x14ac:dyDescent="0.25">
      <c r="A45" s="143">
        <v>9</v>
      </c>
      <c r="B45" s="150" t="s">
        <v>158</v>
      </c>
      <c r="C45" s="51" t="s">
        <v>169</v>
      </c>
      <c r="D45" s="172"/>
      <c r="E45" s="167">
        <f>F45-G45</f>
        <v>60000</v>
      </c>
      <c r="F45" s="172">
        <v>72000</v>
      </c>
      <c r="G45" s="168">
        <v>12000</v>
      </c>
      <c r="H45" s="169">
        <f>E45*I4/E54</f>
        <v>3868.6583237665168</v>
      </c>
      <c r="I45" s="168">
        <f>G45+H45</f>
        <v>15868.658323766516</v>
      </c>
      <c r="J45" s="170">
        <f>I45-F45</f>
        <v>-56131.341676233482</v>
      </c>
    </row>
    <row r="46" spans="1:10" x14ac:dyDescent="0.25">
      <c r="A46" s="143"/>
      <c r="B46" s="150" t="s">
        <v>172</v>
      </c>
      <c r="C46" s="2"/>
      <c r="D46" s="172"/>
      <c r="E46" s="167"/>
      <c r="F46" s="172"/>
      <c r="G46" s="168"/>
      <c r="H46" s="169"/>
      <c r="I46" s="168"/>
      <c r="J46" s="170"/>
    </row>
    <row r="47" spans="1:10" x14ac:dyDescent="0.25">
      <c r="A47" s="146"/>
      <c r="B47" s="152"/>
      <c r="C47" s="5"/>
      <c r="D47" s="173"/>
      <c r="E47" s="174"/>
      <c r="F47" s="173"/>
      <c r="G47" s="175"/>
      <c r="H47" s="176"/>
      <c r="I47" s="175"/>
      <c r="J47" s="177"/>
    </row>
    <row r="48" spans="1:10" x14ac:dyDescent="0.25">
      <c r="A48" s="143"/>
      <c r="B48" s="153"/>
      <c r="C48" s="2"/>
      <c r="D48" s="172"/>
      <c r="E48" s="167"/>
      <c r="F48" s="172"/>
      <c r="G48" s="168"/>
      <c r="H48" s="169"/>
      <c r="I48" s="168"/>
      <c r="J48" s="170"/>
    </row>
    <row r="49" spans="1:10" x14ac:dyDescent="0.25">
      <c r="A49" s="143">
        <v>10</v>
      </c>
      <c r="B49" s="150" t="s">
        <v>173</v>
      </c>
      <c r="C49" s="51" t="s">
        <v>175</v>
      </c>
      <c r="D49" s="172"/>
      <c r="E49" s="167"/>
      <c r="F49" s="172">
        <v>12000</v>
      </c>
      <c r="G49" s="168">
        <f>F49</f>
        <v>12000</v>
      </c>
      <c r="H49" s="169"/>
      <c r="I49" s="168">
        <f>G49</f>
        <v>12000</v>
      </c>
      <c r="J49" s="170"/>
    </row>
    <row r="50" spans="1:10" x14ac:dyDescent="0.25">
      <c r="A50" s="143"/>
      <c r="B50" s="150" t="s">
        <v>174</v>
      </c>
      <c r="C50" s="2"/>
      <c r="D50" s="172"/>
      <c r="E50" s="167"/>
      <c r="F50" s="172"/>
      <c r="G50" s="168"/>
      <c r="H50" s="169"/>
      <c r="I50" s="168"/>
      <c r="J50" s="170"/>
    </row>
    <row r="51" spans="1:10" x14ac:dyDescent="0.25">
      <c r="A51" s="146"/>
      <c r="B51" s="154"/>
      <c r="C51" s="5"/>
      <c r="D51" s="173"/>
      <c r="E51" s="174"/>
      <c r="F51" s="173"/>
      <c r="G51" s="175"/>
      <c r="H51" s="176"/>
      <c r="I51" s="175"/>
      <c r="J51" s="177"/>
    </row>
    <row r="52" spans="1:10" x14ac:dyDescent="0.25">
      <c r="A52" s="143"/>
      <c r="B52" s="153"/>
      <c r="C52" s="2"/>
      <c r="D52" s="172"/>
      <c r="E52" s="167"/>
      <c r="F52" s="172"/>
      <c r="G52" s="168"/>
      <c r="H52" s="169"/>
      <c r="I52" s="168"/>
      <c r="J52" s="170"/>
    </row>
    <row r="53" spans="1:10" x14ac:dyDescent="0.25">
      <c r="A53" s="155"/>
      <c r="B53" s="156"/>
      <c r="C53" s="157"/>
      <c r="D53" s="180"/>
      <c r="E53" s="181"/>
      <c r="F53" s="180"/>
      <c r="G53" s="181"/>
      <c r="H53" s="180"/>
      <c r="I53" s="181"/>
      <c r="J53" s="182"/>
    </row>
    <row r="54" spans="1:10" x14ac:dyDescent="0.25">
      <c r="A54" s="158"/>
      <c r="B54" s="150"/>
      <c r="C54" s="51"/>
      <c r="D54" s="183">
        <f>SUM(D10:D43)</f>
        <v>13671496.340000002</v>
      </c>
      <c r="E54" s="184">
        <f>SUM(E12:E51)</f>
        <v>2757477.2200647369</v>
      </c>
      <c r="F54" s="183">
        <f>SUM(F12:F41)</f>
        <v>13723130.300000001</v>
      </c>
      <c r="G54" s="184">
        <f>SUM(G12:G51)</f>
        <v>11049653.079935264</v>
      </c>
      <c r="H54" s="183">
        <f>SUM(H11:H52)</f>
        <v>177795.62000000002</v>
      </c>
      <c r="I54" s="184">
        <f>SUM(I10:I29)</f>
        <v>11024161.651731672</v>
      </c>
      <c r="J54" s="185">
        <f>SUM(J10:J29)</f>
        <v>-2404113.7182683283</v>
      </c>
    </row>
    <row r="55" spans="1:10" ht="15.75" thickBot="1" x14ac:dyDescent="0.3">
      <c r="A55" s="158"/>
      <c r="B55" s="150"/>
      <c r="C55" s="51"/>
      <c r="D55" s="186"/>
      <c r="E55" s="187"/>
      <c r="F55" s="186"/>
      <c r="G55" s="187"/>
      <c r="H55" s="186"/>
      <c r="I55" s="187"/>
      <c r="J55" s="188"/>
    </row>
    <row r="56" spans="1:10" ht="16.5" thickTop="1" thickBot="1" x14ac:dyDescent="0.3">
      <c r="A56" s="159"/>
      <c r="B56" s="160"/>
      <c r="C56" s="124"/>
      <c r="D56" s="189"/>
      <c r="E56" s="190"/>
      <c r="F56" s="189"/>
      <c r="G56" s="190"/>
      <c r="H56" s="189"/>
      <c r="I56" s="190"/>
      <c r="J56" s="191"/>
    </row>
    <row r="57" spans="1:10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60" spans="1:10" x14ac:dyDescent="0.25">
      <c r="A60" s="51"/>
      <c r="B60" s="51"/>
      <c r="C60" s="51"/>
      <c r="D60" s="51"/>
      <c r="E60" s="51"/>
      <c r="F60" s="41">
        <f>+E54+D54</f>
        <v>16428973.560064739</v>
      </c>
      <c r="G60" s="51" t="e">
        <f>+Likw!G39+Likw!#REF!</f>
        <v>#REF!</v>
      </c>
      <c r="H60" s="52">
        <f>SUM(H11:H21)</f>
        <v>136540.06062803351</v>
      </c>
      <c r="I60" s="119">
        <f>+H54+G54</f>
        <v>11227448.699935263</v>
      </c>
      <c r="J60" s="41">
        <f>+F54-I54</f>
        <v>2698968.648268329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B1:L49"/>
  <sheetViews>
    <sheetView topLeftCell="A43" zoomScaleNormal="100" workbookViewId="0">
      <selection activeCell="F56" sqref="F56"/>
    </sheetView>
  </sheetViews>
  <sheetFormatPr defaultRowHeight="15" x14ac:dyDescent="0.25"/>
  <cols>
    <col min="1" max="1" width="1.7109375" customWidth="1"/>
    <col min="2" max="2" width="7.42578125" customWidth="1"/>
    <col min="3" max="3" width="21.85546875" customWidth="1"/>
    <col min="4" max="4" width="14.28515625" customWidth="1"/>
    <col min="5" max="5" width="16.28515625" customWidth="1"/>
    <col min="7" max="8" width="15.7109375" customWidth="1"/>
    <col min="9" max="9" width="4" customWidth="1"/>
    <col min="10" max="10" width="17.7109375" customWidth="1"/>
    <col min="12" max="12" width="13.140625" customWidth="1"/>
  </cols>
  <sheetData>
    <row r="1" spans="2:10" ht="5.25" customHeight="1" thickBot="1" x14ac:dyDescent="0.3"/>
    <row r="2" spans="2:10" x14ac:dyDescent="0.25">
      <c r="B2" s="60"/>
      <c r="C2" s="61" t="str">
        <f>+'F Page'!C8</f>
        <v xml:space="preserve">VALLEYGROVE FARMS (PTY) LTD (IN LIQUIDATION) </v>
      </c>
      <c r="D2" s="61"/>
      <c r="E2" s="61"/>
      <c r="F2" s="61"/>
      <c r="G2" s="62"/>
      <c r="H2" s="63"/>
      <c r="I2" s="1"/>
      <c r="J2" s="1"/>
    </row>
    <row r="3" spans="2:10" x14ac:dyDescent="0.25">
      <c r="B3" s="64"/>
      <c r="C3" s="65" t="s">
        <v>44</v>
      </c>
      <c r="D3" s="65"/>
      <c r="E3" s="66" t="str">
        <f>+'F Page'!F12</f>
        <v>18/09/2022</v>
      </c>
      <c r="F3" s="66"/>
      <c r="G3" s="67"/>
      <c r="H3" s="68"/>
      <c r="I3" s="1"/>
      <c r="J3" s="1"/>
    </row>
    <row r="4" spans="2:10" x14ac:dyDescent="0.25">
      <c r="B4" s="64"/>
      <c r="C4" s="65"/>
      <c r="D4" s="65"/>
      <c r="E4" s="69"/>
      <c r="F4" s="69"/>
      <c r="G4" s="67"/>
      <c r="H4" s="68"/>
      <c r="I4" s="1"/>
      <c r="J4" s="1"/>
    </row>
    <row r="5" spans="2:10" x14ac:dyDescent="0.25">
      <c r="B5" s="70"/>
      <c r="C5" s="56"/>
      <c r="D5" s="56"/>
      <c r="E5" s="56"/>
      <c r="F5" s="56"/>
      <c r="G5" s="56"/>
      <c r="H5" s="71"/>
    </row>
    <row r="6" spans="2:10" ht="19.5" x14ac:dyDescent="0.35">
      <c r="B6" s="64"/>
      <c r="C6" s="67"/>
      <c r="D6" s="72" t="s">
        <v>60</v>
      </c>
      <c r="E6" s="67"/>
      <c r="F6" s="67"/>
      <c r="G6" s="67"/>
      <c r="H6" s="68"/>
      <c r="I6" s="1"/>
      <c r="J6" s="1"/>
    </row>
    <row r="7" spans="2:10" x14ac:dyDescent="0.25">
      <c r="B7" s="70"/>
      <c r="C7" s="56"/>
      <c r="D7" s="56"/>
      <c r="E7" s="56"/>
      <c r="F7" s="56"/>
      <c r="G7" s="56"/>
      <c r="H7" s="71"/>
    </row>
    <row r="8" spans="2:10" ht="15.75" x14ac:dyDescent="0.3">
      <c r="B8" s="64"/>
      <c r="C8" s="65" t="s">
        <v>61</v>
      </c>
      <c r="D8" s="73"/>
      <c r="E8" s="67"/>
      <c r="F8" s="67"/>
      <c r="G8" s="67"/>
      <c r="H8" s="68"/>
      <c r="I8" s="1"/>
      <c r="J8" s="1"/>
    </row>
    <row r="9" spans="2:10" ht="15.75" x14ac:dyDescent="0.3">
      <c r="B9" s="64"/>
      <c r="C9" s="65" t="s">
        <v>62</v>
      </c>
      <c r="D9" s="73"/>
      <c r="E9" s="67"/>
      <c r="F9" s="67"/>
      <c r="G9" s="67"/>
      <c r="H9" s="68"/>
      <c r="I9" s="1"/>
      <c r="J9" s="1"/>
    </row>
    <row r="10" spans="2:10" x14ac:dyDescent="0.25">
      <c r="B10" s="70"/>
      <c r="C10" s="56"/>
      <c r="D10" s="56"/>
      <c r="E10" s="56"/>
      <c r="F10" s="56"/>
      <c r="G10" s="56"/>
      <c r="H10" s="71"/>
    </row>
    <row r="11" spans="2:10" x14ac:dyDescent="0.25">
      <c r="B11" s="74"/>
      <c r="C11" s="59" t="s">
        <v>59</v>
      </c>
      <c r="D11" s="59"/>
      <c r="E11" s="7"/>
      <c r="F11" s="29" t="s">
        <v>3</v>
      </c>
      <c r="G11" s="30" t="s">
        <v>63</v>
      </c>
      <c r="H11" s="75" t="s">
        <v>6</v>
      </c>
      <c r="I11" s="1"/>
      <c r="J11" s="1"/>
    </row>
    <row r="12" spans="2:10" x14ac:dyDescent="0.25">
      <c r="B12" s="76"/>
      <c r="C12" s="77" t="s">
        <v>64</v>
      </c>
      <c r="D12" s="77"/>
      <c r="E12" s="67"/>
      <c r="F12" s="31"/>
      <c r="G12" s="20" t="s">
        <v>65</v>
      </c>
      <c r="H12" s="68"/>
      <c r="I12" s="1"/>
      <c r="J12" s="1"/>
    </row>
    <row r="13" spans="2:10" x14ac:dyDescent="0.25">
      <c r="B13" s="78" t="s">
        <v>66</v>
      </c>
      <c r="C13" s="79" t="str">
        <f>+Likw!B10</f>
        <v xml:space="preserve">Portion 8 of the Farm ValleyGrove </v>
      </c>
      <c r="D13" s="79"/>
      <c r="E13" s="67"/>
      <c r="F13" s="31"/>
      <c r="G13" s="22">
        <f>+Likw!F10</f>
        <v>7913043.4800000004</v>
      </c>
      <c r="H13" s="80">
        <f t="shared" ref="H13:H16" si="0">+G13*0.15</f>
        <v>1186956.5220000001</v>
      </c>
      <c r="I13" s="1"/>
      <c r="J13" s="1"/>
    </row>
    <row r="14" spans="2:10" x14ac:dyDescent="0.25">
      <c r="B14" s="81" t="s">
        <v>73</v>
      </c>
      <c r="C14" s="79" t="s">
        <v>154</v>
      </c>
      <c r="D14" s="79"/>
      <c r="E14" s="67"/>
      <c r="F14" s="31"/>
      <c r="G14" s="22">
        <f>Likw!F50</f>
        <v>3043478.26</v>
      </c>
      <c r="H14" s="80">
        <f>Likw!F51</f>
        <v>456521.73899999994</v>
      </c>
      <c r="I14" s="1"/>
      <c r="J14" s="1"/>
    </row>
    <row r="15" spans="2:10" x14ac:dyDescent="0.25">
      <c r="B15" s="82" t="s">
        <v>186</v>
      </c>
      <c r="C15" s="79" t="str">
        <f>+Likw!B96</f>
        <v xml:space="preserve">2019 Self Propelled Grape Harvestor </v>
      </c>
      <c r="D15" s="79"/>
      <c r="E15" s="67"/>
      <c r="F15" s="31"/>
      <c r="G15" s="22">
        <f>+Likw!F96</f>
        <v>1000000</v>
      </c>
      <c r="H15" s="80">
        <f>+Likw!F97</f>
        <v>150000</v>
      </c>
      <c r="I15" s="1"/>
      <c r="J15" s="1"/>
    </row>
    <row r="16" spans="2:10" x14ac:dyDescent="0.25">
      <c r="B16" s="82" t="s">
        <v>98</v>
      </c>
      <c r="C16" s="79" t="s">
        <v>99</v>
      </c>
      <c r="D16" s="79"/>
      <c r="E16" s="67"/>
      <c r="F16" s="31"/>
      <c r="G16" s="22">
        <v>238777.48</v>
      </c>
      <c r="H16" s="80">
        <f t="shared" si="0"/>
        <v>35816.622000000003</v>
      </c>
      <c r="I16" s="1"/>
      <c r="J16" s="1"/>
    </row>
    <row r="17" spans="2:10" x14ac:dyDescent="0.25">
      <c r="B17" s="82"/>
      <c r="C17" s="79"/>
      <c r="D17" s="79"/>
      <c r="E17" s="67"/>
      <c r="F17" s="31"/>
      <c r="G17" s="28"/>
      <c r="H17" s="83"/>
      <c r="I17" s="1"/>
      <c r="J17" s="1"/>
    </row>
    <row r="18" spans="2:10" x14ac:dyDescent="0.25">
      <c r="B18" s="82"/>
      <c r="C18" s="79"/>
      <c r="D18" s="79"/>
      <c r="E18" s="67"/>
      <c r="F18" s="31"/>
      <c r="G18" s="20"/>
      <c r="H18" s="80"/>
      <c r="I18" s="1"/>
      <c r="J18" s="1"/>
    </row>
    <row r="19" spans="2:10" ht="15.75" thickBot="1" x14ac:dyDescent="0.3">
      <c r="B19" s="76"/>
      <c r="C19" s="84" t="s">
        <v>67</v>
      </c>
      <c r="D19" s="84"/>
      <c r="E19" s="85"/>
      <c r="F19" s="57"/>
      <c r="G19" s="58">
        <f>G13+G14+G15+G16</f>
        <v>12195299.220000001</v>
      </c>
      <c r="H19" s="86">
        <f>H13+H14+H15+H16</f>
        <v>1829294.8829999999</v>
      </c>
      <c r="I19" s="1"/>
      <c r="J19" s="25" t="e">
        <f>+Likw!#REF!</f>
        <v>#REF!</v>
      </c>
    </row>
    <row r="20" spans="2:10" ht="16.5" thickTop="1" thickBot="1" x14ac:dyDescent="0.3">
      <c r="B20" s="76"/>
      <c r="C20" s="79"/>
      <c r="D20" s="79"/>
      <c r="E20" s="67"/>
      <c r="F20" s="31"/>
      <c r="G20" s="32"/>
      <c r="H20" s="80"/>
      <c r="I20" s="1"/>
      <c r="J20" s="1"/>
    </row>
    <row r="21" spans="2:10" ht="16.5" thickTop="1" thickBot="1" x14ac:dyDescent="0.3">
      <c r="B21" s="76"/>
      <c r="C21" s="79"/>
      <c r="D21" s="79"/>
      <c r="E21" s="67"/>
      <c r="F21" s="31"/>
      <c r="G21" s="27"/>
      <c r="H21" s="80"/>
      <c r="I21" s="1"/>
      <c r="J21" s="1"/>
    </row>
    <row r="22" spans="2:10" ht="15.75" thickBot="1" x14ac:dyDescent="0.3">
      <c r="B22" s="76"/>
      <c r="C22" s="79" t="s">
        <v>68</v>
      </c>
      <c r="D22" s="79"/>
      <c r="E22" s="67"/>
      <c r="F22" s="31"/>
      <c r="G22" s="38">
        <f>G19</f>
        <v>12195299.220000001</v>
      </c>
      <c r="H22" s="80"/>
      <c r="I22" s="1"/>
      <c r="J22" s="1">
        <f>+Likw!D215</f>
        <v>14233875.941</v>
      </c>
    </row>
    <row r="23" spans="2:10" ht="15.75" thickTop="1" x14ac:dyDescent="0.25">
      <c r="B23" s="76"/>
      <c r="C23" s="67"/>
      <c r="D23" s="67"/>
      <c r="E23" s="67"/>
      <c r="F23" s="31"/>
      <c r="G23" s="20"/>
      <c r="H23" s="80"/>
      <c r="I23" s="1"/>
      <c r="J23" s="1"/>
    </row>
    <row r="24" spans="2:10" x14ac:dyDescent="0.25">
      <c r="B24" s="76"/>
      <c r="C24" s="77" t="s">
        <v>69</v>
      </c>
      <c r="D24" s="77"/>
      <c r="E24" s="87"/>
      <c r="F24" s="31"/>
      <c r="G24" s="20"/>
      <c r="H24" s="80"/>
      <c r="I24" s="1"/>
      <c r="J24" s="1"/>
    </row>
    <row r="25" spans="2:10" x14ac:dyDescent="0.25">
      <c r="B25" s="76"/>
      <c r="C25" s="88" t="s">
        <v>189</v>
      </c>
      <c r="D25" s="89"/>
      <c r="E25" s="90"/>
      <c r="F25" s="31"/>
      <c r="G25" s="20"/>
      <c r="H25" s="80"/>
      <c r="I25" s="1"/>
      <c r="J25" s="1"/>
    </row>
    <row r="26" spans="2:10" x14ac:dyDescent="0.25">
      <c r="B26" s="91"/>
      <c r="C26" s="92"/>
      <c r="D26" s="56"/>
      <c r="E26" s="54"/>
      <c r="F26" s="54"/>
      <c r="G26" s="55"/>
      <c r="H26" s="93"/>
    </row>
    <row r="27" spans="2:10" x14ac:dyDescent="0.25">
      <c r="B27" s="91"/>
      <c r="C27" s="94" t="s">
        <v>180</v>
      </c>
      <c r="D27" s="56"/>
      <c r="E27" s="54"/>
      <c r="F27" s="54"/>
      <c r="G27" s="55"/>
      <c r="H27" s="95">
        <v>40148.800000000003</v>
      </c>
    </row>
    <row r="28" spans="2:10" x14ac:dyDescent="0.25">
      <c r="B28" s="91"/>
      <c r="C28" s="92"/>
      <c r="D28" s="56"/>
      <c r="E28" s="54"/>
      <c r="F28" s="54"/>
      <c r="G28" s="55"/>
      <c r="H28" s="95"/>
    </row>
    <row r="29" spans="2:10" x14ac:dyDescent="0.25">
      <c r="B29" s="91"/>
      <c r="C29" s="94" t="s">
        <v>180</v>
      </c>
      <c r="D29" s="56"/>
      <c r="E29" s="54"/>
      <c r="F29" s="54"/>
      <c r="G29" s="55"/>
      <c r="H29" s="95">
        <v>55720.23</v>
      </c>
    </row>
    <row r="30" spans="2:10" x14ac:dyDescent="0.25">
      <c r="B30" s="91"/>
      <c r="C30" s="92"/>
      <c r="D30" s="56"/>
      <c r="E30" s="54"/>
      <c r="F30" s="54"/>
      <c r="G30" s="55"/>
      <c r="H30" s="95"/>
    </row>
    <row r="31" spans="2:10" x14ac:dyDescent="0.25">
      <c r="B31" s="91"/>
      <c r="C31" s="94"/>
      <c r="D31" s="56"/>
      <c r="E31" s="54"/>
      <c r="F31" s="54"/>
      <c r="G31" s="55"/>
      <c r="H31" s="95"/>
    </row>
    <row r="32" spans="2:10" x14ac:dyDescent="0.25">
      <c r="B32" s="91"/>
      <c r="C32" s="94" t="s">
        <v>180</v>
      </c>
      <c r="D32" s="56"/>
      <c r="E32" s="54"/>
      <c r="F32" s="54"/>
      <c r="G32" s="55"/>
      <c r="H32" s="95">
        <v>21493.13</v>
      </c>
    </row>
    <row r="33" spans="2:12" x14ac:dyDescent="0.25">
      <c r="B33" s="91"/>
      <c r="C33" s="92"/>
      <c r="D33" s="56"/>
      <c r="E33" s="54"/>
      <c r="F33" s="54"/>
      <c r="G33" s="55"/>
      <c r="H33" s="95"/>
    </row>
    <row r="34" spans="2:12" x14ac:dyDescent="0.25">
      <c r="B34" s="91"/>
      <c r="C34" s="94" t="s">
        <v>180</v>
      </c>
      <c r="D34" s="56"/>
      <c r="E34" s="54"/>
      <c r="F34" s="54"/>
      <c r="G34" s="55"/>
      <c r="H34" s="95">
        <v>7475.31</v>
      </c>
    </row>
    <row r="35" spans="2:12" x14ac:dyDescent="0.25">
      <c r="B35" s="76"/>
      <c r="C35" s="96"/>
      <c r="D35" s="97"/>
      <c r="E35" s="42"/>
      <c r="F35" s="43"/>
      <c r="G35" s="33"/>
      <c r="H35" s="80"/>
      <c r="I35" s="1"/>
      <c r="J35" s="34"/>
    </row>
    <row r="36" spans="2:12" ht="15.75" thickBot="1" x14ac:dyDescent="0.3">
      <c r="B36" s="76"/>
      <c r="C36" s="79"/>
      <c r="D36" s="67"/>
      <c r="E36" s="67"/>
      <c r="F36" s="31"/>
      <c r="G36" s="26"/>
      <c r="H36" s="98"/>
      <c r="I36" s="1"/>
      <c r="J36" s="1"/>
    </row>
    <row r="37" spans="2:12" ht="15.75" thickBot="1" x14ac:dyDescent="0.3">
      <c r="B37" s="76"/>
      <c r="C37" s="88" t="s">
        <v>70</v>
      </c>
      <c r="D37" s="67"/>
      <c r="E37" s="67"/>
      <c r="F37" s="31"/>
      <c r="G37" s="20"/>
      <c r="H37" s="99">
        <f>H27+H29+H32+H34</f>
        <v>124837.47</v>
      </c>
      <c r="I37" s="1"/>
      <c r="J37" s="25" t="e">
        <f>+Likw!#REF!</f>
        <v>#REF!</v>
      </c>
      <c r="L37" s="40" t="e">
        <f>+H37-J37</f>
        <v>#REF!</v>
      </c>
    </row>
    <row r="38" spans="2:12" ht="15.75" thickTop="1" x14ac:dyDescent="0.25">
      <c r="B38" s="100"/>
      <c r="C38" s="21"/>
      <c r="D38" s="21"/>
      <c r="E38" s="21"/>
      <c r="F38" s="35"/>
      <c r="G38" s="15"/>
      <c r="H38" s="83"/>
      <c r="I38" s="1"/>
      <c r="J38" s="1"/>
    </row>
    <row r="39" spans="2:12" x14ac:dyDescent="0.25">
      <c r="B39" s="70"/>
      <c r="C39" s="67"/>
      <c r="D39" s="67"/>
      <c r="E39" s="67"/>
      <c r="F39" s="67"/>
      <c r="G39" s="67"/>
      <c r="H39" s="80"/>
      <c r="I39" s="1"/>
      <c r="J39" s="1"/>
    </row>
    <row r="40" spans="2:12" x14ac:dyDescent="0.25">
      <c r="B40" s="70"/>
      <c r="C40" s="101" t="s">
        <v>78</v>
      </c>
      <c r="D40" s="67"/>
      <c r="E40" s="67"/>
      <c r="F40" s="67"/>
      <c r="G40" s="67"/>
      <c r="H40" s="80"/>
      <c r="I40" s="1"/>
      <c r="J40" s="1"/>
    </row>
    <row r="41" spans="2:12" x14ac:dyDescent="0.25">
      <c r="B41" s="70"/>
      <c r="C41" s="36" t="s">
        <v>79</v>
      </c>
      <c r="D41" s="23"/>
      <c r="E41" s="23"/>
      <c r="F41" s="23"/>
      <c r="G41" s="24"/>
      <c r="H41" s="102">
        <f>+H19</f>
        <v>1829294.8829999999</v>
      </c>
      <c r="I41" s="1"/>
      <c r="J41" s="25"/>
    </row>
    <row r="42" spans="2:12" x14ac:dyDescent="0.25">
      <c r="B42" s="70"/>
      <c r="C42" s="26" t="s">
        <v>70</v>
      </c>
      <c r="D42" s="67"/>
      <c r="E42" s="67"/>
      <c r="F42" s="67"/>
      <c r="G42" s="20"/>
      <c r="H42" s="83">
        <f>+H37</f>
        <v>124837.47</v>
      </c>
      <c r="I42" s="1"/>
      <c r="J42" s="1"/>
    </row>
    <row r="43" spans="2:12" ht="15.75" thickBot="1" x14ac:dyDescent="0.3">
      <c r="B43" s="70"/>
      <c r="C43" s="26"/>
      <c r="D43" s="67"/>
      <c r="E43" s="67"/>
      <c r="F43" s="67"/>
      <c r="G43" s="20"/>
      <c r="H43" s="103">
        <f>+H41-H42</f>
        <v>1704457.4129999999</v>
      </c>
      <c r="I43" s="1"/>
      <c r="J43" s="25" t="e">
        <f>+Likw!#REF!</f>
        <v>#REF!</v>
      </c>
      <c r="L43" s="40" t="e">
        <f>+H43-J43</f>
        <v>#REF!</v>
      </c>
    </row>
    <row r="44" spans="2:12" ht="15.75" thickTop="1" x14ac:dyDescent="0.25">
      <c r="B44" s="70"/>
      <c r="C44" s="37"/>
      <c r="D44" s="21"/>
      <c r="E44" s="21"/>
      <c r="F44" s="21"/>
      <c r="G44" s="15"/>
      <c r="H44" s="104" t="s">
        <v>65</v>
      </c>
      <c r="I44" s="1"/>
      <c r="J44" s="1"/>
    </row>
    <row r="45" spans="2:12" x14ac:dyDescent="0.25">
      <c r="B45" s="70"/>
      <c r="C45" s="56"/>
      <c r="D45" s="56"/>
      <c r="E45" s="56"/>
      <c r="F45" s="56"/>
      <c r="G45" s="56"/>
      <c r="H45" s="71"/>
    </row>
    <row r="46" spans="2:12" x14ac:dyDescent="0.25">
      <c r="B46" s="70"/>
      <c r="C46" s="67"/>
      <c r="D46" s="21" t="s">
        <v>76</v>
      </c>
      <c r="E46" s="3"/>
      <c r="F46" s="3"/>
      <c r="G46" s="39">
        <f>+G19+H19</f>
        <v>14024594.103</v>
      </c>
      <c r="H46" s="68"/>
      <c r="I46" s="1"/>
      <c r="J46" s="1"/>
    </row>
    <row r="47" spans="2:12" x14ac:dyDescent="0.25">
      <c r="B47" s="70"/>
      <c r="C47" s="67"/>
      <c r="D47" s="67" t="s">
        <v>77</v>
      </c>
      <c r="E47" s="67"/>
      <c r="F47" s="67"/>
      <c r="G47" s="90">
        <f>+G22</f>
        <v>12195299.220000001</v>
      </c>
      <c r="H47" s="105">
        <f>+G46/G47</f>
        <v>1.1499999999999999</v>
      </c>
      <c r="I47" s="1"/>
      <c r="J47" s="1"/>
    </row>
    <row r="48" spans="2:12" x14ac:dyDescent="0.25">
      <c r="B48" s="70"/>
      <c r="C48" s="56"/>
      <c r="D48" s="56"/>
      <c r="E48" s="56"/>
      <c r="F48" s="56"/>
      <c r="G48" s="56"/>
      <c r="H48" s="71"/>
    </row>
    <row r="49" spans="2:8" ht="15.75" thickBot="1" x14ac:dyDescent="0.3">
      <c r="B49" s="106"/>
      <c r="C49" s="107"/>
      <c r="D49" s="107"/>
      <c r="E49" s="107"/>
      <c r="F49" s="107"/>
      <c r="G49" s="107"/>
      <c r="H49" s="108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&amp;C&amp;P</oddHeader>
    <oddFooter>&amp;F</oddFooter>
  </headerFooter>
  <rowBreaks count="1" manualBreakCount="1">
    <brk id="4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 Page</vt:lpstr>
      <vt:lpstr>Likw</vt:lpstr>
      <vt:lpstr>Distr</vt:lpstr>
      <vt:lpstr>VAT</vt:lpstr>
      <vt:lpstr>Distr!Print_Area</vt:lpstr>
      <vt:lpstr>VAT!Print_Area</vt:lpstr>
      <vt:lpstr>Distr!Print_Titles</vt:lpstr>
      <vt:lpstr>Likw!Print_Titles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McDonald</dc:creator>
  <cp:lastModifiedBy>User</cp:lastModifiedBy>
  <cp:lastPrinted>2023-11-29T10:38:01Z</cp:lastPrinted>
  <dcterms:created xsi:type="dcterms:W3CDTF">2021-04-16T06:03:42Z</dcterms:created>
  <dcterms:modified xsi:type="dcterms:W3CDTF">2023-11-29T10:39:45Z</dcterms:modified>
</cp:coreProperties>
</file>