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fc47cbc17dcc9ef0/VG DOCUMENTS/INSOLVENCY COURSE/Exam 2023/"/>
    </mc:Choice>
  </mc:AlternateContent>
  <xr:revisionPtr revIDLastSave="29" documentId="8_{6EC97453-44E8-44C1-9032-DE41A7F9D908}" xr6:coauthVersionLast="47" xr6:coauthVersionMax="47" xr10:uidLastSave="{290E5D2F-4176-47CA-A77C-9F8C1305C50D}"/>
  <bookViews>
    <workbookView xWindow="-108" yWindow="-108" windowWidth="23256" windowHeight="12456" tabRatio="652" activeTab="4" xr2:uid="{623C6580-730A-4A35-A6FC-1A082D869540}"/>
  </bookViews>
  <sheets>
    <sheet name="BANK RECON" sheetId="2" r:id="rId1"/>
    <sheet name="EC Asset 1" sheetId="3" r:id="rId2"/>
    <sheet name="EC Asset 2" sheetId="4" r:id="rId3"/>
    <sheet name="EC Asset 3" sheetId="5" r:id="rId4"/>
    <sheet name="Free residue" sheetId="6" r:id="rId5"/>
    <sheet name="Schedule A,B C &amp; D" sheetId="7" r:id="rId6"/>
    <sheet name="DISTRIBUTION" sheetId="1" r:id="rId7"/>
  </sheets>
  <definedNames>
    <definedName name="_xlnm.Print_Area" localSheetId="3">'EC Asset 3'!$A$1:$F$71</definedName>
    <definedName name="_xlnm.Print_Area" localSheetId="4">'Free residue'!$A$1:$F$80</definedName>
    <definedName name="_xlnm.Print_Area" localSheetId="5">'Schedule A,B C &amp; D'!$A$1:$F$123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 l="1"/>
  <c r="E13" i="7"/>
  <c r="I45" i="1" l="1"/>
  <c r="D83" i="7"/>
  <c r="F83" i="7" s="1"/>
  <c r="F82" i="7"/>
  <c r="F78" i="7"/>
  <c r="D74" i="7"/>
  <c r="F74" i="7" s="1"/>
  <c r="F73" i="7"/>
  <c r="F68" i="7"/>
  <c r="D69" i="7"/>
  <c r="F69" i="7" s="1"/>
  <c r="F84" i="7" l="1"/>
  <c r="F75" i="7"/>
  <c r="F70" i="7"/>
  <c r="B59" i="3"/>
  <c r="C38" i="3" s="1"/>
  <c r="C39" i="3" s="1"/>
  <c r="D15" i="1"/>
  <c r="G15" i="1" s="1"/>
  <c r="D42" i="2"/>
  <c r="C28" i="2"/>
  <c r="C27" i="2"/>
  <c r="C26" i="2"/>
  <c r="E64" i="6"/>
  <c r="C62" i="6"/>
  <c r="F32" i="1"/>
  <c r="C27" i="1"/>
  <c r="G27" i="1" s="1"/>
  <c r="C24" i="1"/>
  <c r="D22" i="1"/>
  <c r="G22" i="1" s="1"/>
  <c r="C19" i="1"/>
  <c r="C12" i="1"/>
  <c r="C8" i="1"/>
  <c r="C7" i="1"/>
  <c r="E59" i="6"/>
  <c r="D9" i="6"/>
  <c r="D11" i="6"/>
  <c r="D15" i="6"/>
  <c r="D29" i="6"/>
  <c r="D35" i="6"/>
  <c r="D41" i="6"/>
  <c r="D42" i="6"/>
  <c r="D43" i="6"/>
  <c r="D44" i="6"/>
  <c r="D46" i="6"/>
  <c r="D48" i="6"/>
  <c r="F69" i="5"/>
  <c r="B53" i="5"/>
  <c r="C32" i="5" s="1"/>
  <c r="C21" i="1" s="1"/>
  <c r="C64" i="5"/>
  <c r="C60" i="5"/>
  <c r="F79" i="4"/>
  <c r="C75" i="4"/>
  <c r="C71" i="4"/>
  <c r="B64" i="4"/>
  <c r="C43" i="4" s="1"/>
  <c r="E105" i="7"/>
  <c r="D57" i="7"/>
  <c r="F57" i="7" s="1"/>
  <c r="F56" i="7"/>
  <c r="D46" i="7"/>
  <c r="F46" i="7" s="1"/>
  <c r="F45" i="7"/>
  <c r="D29" i="4"/>
  <c r="F62" i="3"/>
  <c r="F21" i="7"/>
  <c r="F23" i="7" s="1"/>
  <c r="F17" i="6"/>
  <c r="F79" i="6" s="1"/>
  <c r="D11" i="5"/>
  <c r="D119" i="7" s="1"/>
  <c r="D11" i="4"/>
  <c r="D118" i="7" s="1"/>
  <c r="D25" i="3"/>
  <c r="D13" i="7"/>
  <c r="F34" i="7"/>
  <c r="D35" i="7"/>
  <c r="F35" i="7" s="1"/>
  <c r="D10" i="3"/>
  <c r="F101" i="7" l="1"/>
  <c r="E27" i="4" s="1"/>
  <c r="D27" i="4" s="1"/>
  <c r="D17" i="7"/>
  <c r="E8" i="7"/>
  <c r="D117" i="7"/>
  <c r="E24" i="1"/>
  <c r="C45" i="1"/>
  <c r="D45" i="1"/>
  <c r="C9" i="1"/>
  <c r="F86" i="7"/>
  <c r="E9" i="7"/>
  <c r="E20" i="4" s="1"/>
  <c r="E15" i="3"/>
  <c r="E11" i="7"/>
  <c r="E22" i="6" s="1"/>
  <c r="F8" i="7"/>
  <c r="E18" i="3" s="1"/>
  <c r="D18" i="3" s="1"/>
  <c r="F9" i="7"/>
  <c r="E23" i="4" s="1"/>
  <c r="D23" i="4" s="1"/>
  <c r="E10" i="7"/>
  <c r="E16" i="5" s="1"/>
  <c r="F10" i="7"/>
  <c r="E19" i="5" s="1"/>
  <c r="D19" i="5" s="1"/>
  <c r="F11" i="7"/>
  <c r="E25" i="6" s="1"/>
  <c r="D25" i="6" s="1"/>
  <c r="C44" i="4"/>
  <c r="C14" i="1"/>
  <c r="D17" i="6"/>
  <c r="D120" i="7" s="1"/>
  <c r="D122" i="7" s="1"/>
  <c r="G24" i="1"/>
  <c r="G45" i="1" s="1"/>
  <c r="E27" i="1"/>
  <c r="C61" i="5"/>
  <c r="C62" i="5" s="1"/>
  <c r="C66" i="5" s="1"/>
  <c r="F22" i="1" s="1"/>
  <c r="C33" i="5"/>
  <c r="C72" i="4"/>
  <c r="C73" i="4" s="1"/>
  <c r="C77" i="4" s="1"/>
  <c r="F15" i="1" s="1"/>
  <c r="F103" i="7"/>
  <c r="E33" i="6" s="1"/>
  <c r="D33" i="6" s="1"/>
  <c r="F102" i="7"/>
  <c r="E31" i="6" s="1"/>
  <c r="D31" i="6" s="1"/>
  <c r="F58" i="7"/>
  <c r="F60" i="7" s="1"/>
  <c r="F62" i="7" s="1"/>
  <c r="E21" i="5" s="1"/>
  <c r="D21" i="5" s="1"/>
  <c r="F36" i="7"/>
  <c r="F38" i="7" s="1"/>
  <c r="F40" i="7" s="1"/>
  <c r="F47" i="7"/>
  <c r="D19" i="7" l="1"/>
  <c r="D20" i="7" s="1"/>
  <c r="F88" i="7"/>
  <c r="F90" i="7" s="1"/>
  <c r="F93" i="7" s="1"/>
  <c r="E45" i="1"/>
  <c r="F45" i="1"/>
  <c r="F52" i="1" s="1"/>
  <c r="D25" i="5"/>
  <c r="E119" i="7" s="1"/>
  <c r="F119" i="7" s="1"/>
  <c r="E20" i="3"/>
  <c r="D20" i="3" s="1"/>
  <c r="D29" i="3" s="1"/>
  <c r="E27" i="3" s="1"/>
  <c r="F49" i="7"/>
  <c r="F51" i="7" s="1"/>
  <c r="E27" i="6" l="1"/>
  <c r="C14" i="2"/>
  <c r="E23" i="5"/>
  <c r="E25" i="5" s="1"/>
  <c r="E69" i="5" s="1"/>
  <c r="E72" i="5" s="1"/>
  <c r="E117" i="7"/>
  <c r="F117" i="7" s="1"/>
  <c r="E29" i="3"/>
  <c r="E62" i="3" s="1"/>
  <c r="E65" i="3" s="1"/>
  <c r="E25" i="4"/>
  <c r="D27" i="6" l="1"/>
  <c r="D25" i="4"/>
  <c r="D34" i="4" s="1"/>
  <c r="E32" i="4" s="1"/>
  <c r="D52" i="6" l="1"/>
  <c r="E120" i="7" s="1"/>
  <c r="F120" i="7" s="1"/>
  <c r="E34" i="4"/>
  <c r="E79" i="4" s="1"/>
  <c r="E118" i="7"/>
  <c r="E50" i="6" l="1"/>
  <c r="E52" i="6" s="1"/>
  <c r="F118" i="7"/>
  <c r="F122" i="7" s="1"/>
  <c r="C19" i="2" s="1"/>
  <c r="E122" i="7"/>
  <c r="C42" i="2" l="1"/>
  <c r="C45" i="2" s="1"/>
  <c r="I30" i="1"/>
  <c r="I22" i="1"/>
  <c r="I41" i="1"/>
  <c r="I37" i="1"/>
  <c r="F51" i="1"/>
  <c r="F54" i="1" s="1"/>
  <c r="F55" i="1" s="1"/>
  <c r="I17" i="1"/>
  <c r="E47" i="1"/>
  <c r="C75" i="6" s="1"/>
  <c r="I15" i="1"/>
  <c r="I39" i="1"/>
  <c r="I32" i="1"/>
  <c r="E79" i="6"/>
  <c r="E81" i="6" s="1"/>
</calcChain>
</file>

<file path=xl/sharedStrings.xml><?xml version="1.0" encoding="utf-8"?>
<sst xmlns="http://schemas.openxmlformats.org/spreadsheetml/2006/main" count="329" uniqueCount="199">
  <si>
    <t>DISTRIBUTION ACCOUNT - LIST A</t>
  </si>
  <si>
    <t>CREDITOR NAME</t>
  </si>
  <si>
    <t>TOTAL CLAIM</t>
  </si>
  <si>
    <t>SECURED CLAIM</t>
  </si>
  <si>
    <t>PREFERENT CLAIM</t>
  </si>
  <si>
    <t>CONCURRENT CLAIM</t>
  </si>
  <si>
    <t>CONCURRENT AWARD</t>
  </si>
  <si>
    <t>SECURED/ PREFERENT AWARD</t>
  </si>
  <si>
    <t>BANK RECONCILIATION STATEMENT</t>
  </si>
  <si>
    <t>NARRATION</t>
  </si>
  <si>
    <t>PAYMENTS</t>
  </si>
  <si>
    <t>RECEIPTS</t>
  </si>
  <si>
    <t>Balance per bank statement at the date of drafting the account</t>
  </si>
  <si>
    <t>ADD</t>
  </si>
  <si>
    <t>PAYMENTS STILL TO BE MADE</t>
  </si>
  <si>
    <t>AWARDS TO CREDITORS STILL TO BE MADE</t>
  </si>
  <si>
    <t>Free residue</t>
  </si>
  <si>
    <t>Preferent</t>
  </si>
  <si>
    <t>VAT</t>
  </si>
  <si>
    <t>Receipts</t>
  </si>
  <si>
    <t>Payments</t>
  </si>
  <si>
    <t>Masters fees, pro rata portion per Schedule A</t>
  </si>
  <si>
    <t>Bond security premium</t>
  </si>
  <si>
    <t>Liquidators fees as per Schedule B</t>
  </si>
  <si>
    <t>SCHEDULE A</t>
  </si>
  <si>
    <t>ACCOUNT</t>
  </si>
  <si>
    <t>GROSS PROCEEDS</t>
  </si>
  <si>
    <t>MASTER'S FEES</t>
  </si>
  <si>
    <t>BOND PREMIUM</t>
  </si>
  <si>
    <t>PRO RATA APPORTIONMENT OF MASTER'S FEES AND BOND OF SECURITY PREMIUM</t>
  </si>
  <si>
    <t>Ecumbered asset 1</t>
  </si>
  <si>
    <t>Ecumbered asset 2</t>
  </si>
  <si>
    <t>Ecumbered asset 3</t>
  </si>
  <si>
    <t>Free Residue</t>
  </si>
  <si>
    <t>Master's fees calculation</t>
  </si>
  <si>
    <t>TOTALS</t>
  </si>
  <si>
    <t>Gross value of estate</t>
  </si>
  <si>
    <t>Less</t>
  </si>
  <si>
    <t>Divided by R5,000</t>
  </si>
  <si>
    <t>Total Master's fees</t>
  </si>
  <si>
    <t>SCHEDULE B</t>
  </si>
  <si>
    <t>CALCULATION OF LIQUIDATORS REMUNERATION IN ACCORDANCE WITH THE SPENDIFF DECISION</t>
  </si>
  <si>
    <t>Fee @ 3%</t>
  </si>
  <si>
    <t xml:space="preserve">Less </t>
  </si>
  <si>
    <t xml:space="preserve"> 15% x 3%</t>
  </si>
  <si>
    <t>Total fee fixed property</t>
  </si>
  <si>
    <t>Fee @ 10%</t>
  </si>
  <si>
    <t>GuardianSure Bonds Ltd pro rata bond of security premium as per Schedule A</t>
  </si>
  <si>
    <t>Western Province Municipality, rates and taxes as follows:</t>
  </si>
  <si>
    <t>Arrear taxes as well as the amount owing from date of liquidation to date of transfer of the property</t>
  </si>
  <si>
    <t>SCHEDULE C</t>
  </si>
  <si>
    <t xml:space="preserve">Proceeds from sale of the 2019 self-propelled Grape Harvester, registration number CA9090 used on the farm for farming operations </t>
  </si>
  <si>
    <t>FREE RESIDUE ACCOUNT</t>
  </si>
  <si>
    <t>Proceeds from sale of inventory of bottled wines manufactured by the winery on the farm</t>
  </si>
  <si>
    <t>Proceeds from the sale of miscellaneous movable assets and office equipment found at the farm “ValleyGrove</t>
  </si>
  <si>
    <t>Proceeds of book debts collected by attorneys Sithole &amp; Partners at the request of the liquidator in the course of winding-up the company</t>
  </si>
  <si>
    <t>Proceeds of a quantity of Stella Valley Cabernet grapes harvested shortly after liquidation and sold privately to the local Co-op market</t>
  </si>
  <si>
    <t>Total receipts</t>
  </si>
  <si>
    <t>Master's fee, pro rata portion as per Schedule A</t>
  </si>
  <si>
    <t>Liquidator's fee as per Schedule B</t>
  </si>
  <si>
    <t>Horizon Attorneys, taxed bill of costs re liquidation</t>
  </si>
  <si>
    <t>Therefore 2816 x R275</t>
  </si>
  <si>
    <t>Plus VAT @ 15% thereon</t>
  </si>
  <si>
    <t>Total fee inclusive of VAT</t>
  </si>
  <si>
    <t>Balance awarded as follows:</t>
  </si>
  <si>
    <t>Capital Bank Ltd</t>
  </si>
  <si>
    <t>Capital</t>
  </si>
  <si>
    <t>Interest</t>
  </si>
  <si>
    <t>Plus Interest</t>
  </si>
  <si>
    <t>Interest calculation</t>
  </si>
  <si>
    <t>Hastings Auctions - auction held on 10 November 2022</t>
  </si>
  <si>
    <t>Total days</t>
  </si>
  <si>
    <t>No of days</t>
  </si>
  <si>
    <t>Interest rate per annum</t>
  </si>
  <si>
    <t>R8,946,765.32 x 194/365 x 14%</t>
  </si>
  <si>
    <t xml:space="preserve">04 Sep 22 - 30 Sep 22       </t>
  </si>
  <si>
    <t xml:space="preserve">01 Oct 22 - 31 Oct 22 </t>
  </si>
  <si>
    <t xml:space="preserve">01 Nov 22 - 30 Nov 22  </t>
  </si>
  <si>
    <t>01 Dec 22 - 31 Dec 22</t>
  </si>
  <si>
    <t xml:space="preserve">01 Jan 23 - 31 Jan 23 </t>
  </si>
  <si>
    <t xml:space="preserve">01 Feb 23 - 28 Feb 23 </t>
  </si>
  <si>
    <t xml:space="preserve">01 Mar 23 - 17 Mar 23 </t>
  </si>
  <si>
    <t>Period</t>
  </si>
  <si>
    <t>Total due</t>
  </si>
  <si>
    <t>Capital Bank Ltd, first mortgage bond registered over Portion 8 of the farm “ValleyGrove Farms.</t>
  </si>
  <si>
    <t>Calculation</t>
  </si>
  <si>
    <t>SARS, VAT payable as per this account</t>
  </si>
  <si>
    <t>Capital Bank relied on its security</t>
  </si>
  <si>
    <t>Interest calculation is unnecessary as</t>
  </si>
  <si>
    <t>creditor has relied on its security and the</t>
  </si>
  <si>
    <t>balance is insufficient to pay capital</t>
  </si>
  <si>
    <t>claim)</t>
  </si>
  <si>
    <t>Total payments</t>
  </si>
  <si>
    <t>Limited to a maximum of R275,000</t>
  </si>
  <si>
    <t>Bottling plant and equipment sold ex situ, subject to special notarial bond, sold by public auction by Hastings Auctions on 21 November 2022</t>
  </si>
  <si>
    <t>VALLEYGROVE FARMS (PTY) LTD (IN LIQUIDATION)</t>
  </si>
  <si>
    <t>TOTAL</t>
  </si>
  <si>
    <t>Proceeds from Portion 8 of the farm “ValleyGrove”,  Stellenbosch, Western Cape, sold by public auction by Hastings Auctions on 10 November 2022</t>
  </si>
  <si>
    <t xml:space="preserve"> 15% x 10%</t>
  </si>
  <si>
    <t>FEE RESIDUE</t>
  </si>
  <si>
    <t>Bond premium (provision for renewal)</t>
  </si>
  <si>
    <t>Conserving costs</t>
  </si>
  <si>
    <t>GrapeFlow Bottling Solutions, repairs to bottling plant prior to it being sold by public auction</t>
  </si>
  <si>
    <t>PRO RATA APPORTIONMENT OF AUCTIONEER'S COMMISSION ON 21 NOVEMBER 2023</t>
  </si>
  <si>
    <t>Bottling plant and equipment</t>
  </si>
  <si>
    <t>Inventory of bottled wine</t>
  </si>
  <si>
    <t>Moveable assets and office equipment</t>
  </si>
  <si>
    <t>Total</t>
  </si>
  <si>
    <t>AUCTIONEER'S COMMISSION</t>
  </si>
  <si>
    <t>Harvest Finance Ltd</t>
  </si>
  <si>
    <t>Harvest Finance Ltd, secured by a special notarial bond registered over specified assets in terms of section 1 of the Security by Means of Movable Property Act 57 of 1993</t>
  </si>
  <si>
    <t>R3,203,046.89 x 194/365 x 16.5%</t>
  </si>
  <si>
    <t>This creditor did not rely on its security</t>
  </si>
  <si>
    <t>Balance of claim is concurrent ito Singer v The Master</t>
  </si>
  <si>
    <t>Plus interest</t>
  </si>
  <si>
    <t>Less : Awared in terms of security</t>
  </si>
  <si>
    <t>Balance of claim transferred to Concurrent claims</t>
  </si>
  <si>
    <t>TOTAL PAYMENTS</t>
  </si>
  <si>
    <t>AgriTech Finance</t>
  </si>
  <si>
    <t>AgriTech Finance, secured by an instalment sale transaction over the 2019 Grape
Harvester registration number CA9090</t>
  </si>
  <si>
    <t>R1,261,052.55 x 194/365 x 16.5%</t>
  </si>
  <si>
    <t>Sithole &amp; Partners, professional fee for collecting book debts</t>
  </si>
  <si>
    <t>Advertisement expenses</t>
  </si>
  <si>
    <t>Cost of advertising general (second) meeting of creditors</t>
  </si>
  <si>
    <t>Trust Bank Ltd, bank charges (including a provision of R150.00</t>
  </si>
  <si>
    <t>Postage and petties</t>
  </si>
  <si>
    <t>Confirmation of account</t>
  </si>
  <si>
    <t>Inspection of account</t>
  </si>
  <si>
    <t>Destruction of books and records</t>
  </si>
  <si>
    <t>Arrear salary</t>
  </si>
  <si>
    <t>Leave pay</t>
  </si>
  <si>
    <t>Wages paid to general labourers who assisted with harvesting the grapes which were sold after liquidation</t>
  </si>
  <si>
    <t>Preferent creditors:</t>
  </si>
  <si>
    <t>South African Revenue Service, VAT</t>
  </si>
  <si>
    <t>South African Revenue Service, Income tax</t>
  </si>
  <si>
    <t>SCHEDULE D</t>
  </si>
  <si>
    <t>VAT SCHEDULE</t>
  </si>
  <si>
    <t>OUTPUT VAT</t>
  </si>
  <si>
    <t>INPUT VAT</t>
  </si>
  <si>
    <t>VAT PAY / REFUND</t>
  </si>
  <si>
    <t>Vinetech Supplies Ltd</t>
  </si>
  <si>
    <t>Winecraft Essentials Ltd</t>
  </si>
  <si>
    <t>Thabo Moeng</t>
  </si>
  <si>
    <t>Salary S98(A)</t>
  </si>
  <si>
    <t>Leave S98(A0</t>
  </si>
  <si>
    <t>(Free Residue)</t>
  </si>
  <si>
    <t>David Smith</t>
  </si>
  <si>
    <t>Maria Ndlovu</t>
  </si>
  <si>
    <t>Sindiwe Mthembu</t>
  </si>
  <si>
    <t>Thabo Moeng S98(A)</t>
  </si>
  <si>
    <t>Sindiwe Mthembu S98(A</t>
  </si>
  <si>
    <t>Arrear salary 4 months @ R3,000 per month</t>
  </si>
  <si>
    <t>Maximum limited to 3 months (3 months x R3,000)</t>
  </si>
  <si>
    <t>Advertising costs - Destruction of books and records</t>
  </si>
  <si>
    <t>Trust Bank - bank charges</t>
  </si>
  <si>
    <t>Creditor 8 - Thabo Moeng</t>
  </si>
  <si>
    <t>Creditor 11 - Sindiwe Mthembu</t>
  </si>
  <si>
    <t>Total Remuneration inc VAT</t>
  </si>
  <si>
    <t>Hastings Auctions - pro rata auction held on 21 November 2022 as per Schedule C</t>
  </si>
  <si>
    <t>LIST - B</t>
  </si>
  <si>
    <t>CASH AVAILABLE AFTER AFTER OF EXPENSES, SECURED AND PREFERENT CLAIMS</t>
  </si>
  <si>
    <t>CONCURRENT CLAIMS</t>
  </si>
  <si>
    <t>A</t>
  </si>
  <si>
    <t>B</t>
  </si>
  <si>
    <t>RANDS</t>
  </si>
  <si>
    <t>CENTS</t>
  </si>
  <si>
    <t>Concurrent creditors</t>
  </si>
  <si>
    <t>South African Revenue Service, VAT - Creditor 5</t>
  </si>
  <si>
    <t>South African Revenue Service, Income tax Creditor 6</t>
  </si>
  <si>
    <t>SARS, for VAT payable per this account - Schedule D</t>
  </si>
  <si>
    <t>Liquidator's remuneration - Schedule B</t>
  </si>
  <si>
    <t>Master's fee - Schedule A</t>
  </si>
  <si>
    <t>Fixed property  - 3%</t>
  </si>
  <si>
    <t>Sale of inventory wine bottles</t>
  </si>
  <si>
    <t>Sales of miscellaneous movable assets and office equipment</t>
  </si>
  <si>
    <t>Collection of book debts</t>
  </si>
  <si>
    <t>No VAT</t>
  </si>
  <si>
    <t>Sale of harvested grapes</t>
  </si>
  <si>
    <t>Sub -total</t>
  </si>
  <si>
    <t>CONCURRENT DIVIDEND IN CENTS TO THE RAND =</t>
  </si>
  <si>
    <t>A / B (A DIVIDED BY B)</t>
  </si>
  <si>
    <t>No further claims will by paid to Capital Bank with respect to Encumbered Asset 1</t>
  </si>
  <si>
    <t>PROCEEDS FROM SALE OF BOTTLING PLAN AND EQUIPMENT SECURED BY SPECIAL NOTARIAL BOLD REGISTEREDOVER SPECIAL ASSETS IN TERMS OF SECTION1  BY MEANS OF MOVABLE PROPERTY ACT 57, HELD BE HARVEST FINANCE LTD - CREDITOR NO 2</t>
  </si>
  <si>
    <t>PROCEEDS FROM SALE OF PORTION 8 OF FARM VALLEYGROVE, STELLENBOSCH, WESTERN CAPE, SUBJECT TO FIRST MORTGAGE BOND IN FAVOUR OF CAPITAL BANK, CREDITOR NO 1</t>
  </si>
  <si>
    <t>PROCEEDS FROM SALE 2019 SELF PROPELLED GRAPE HARVESTER, REGISITRATION NUMBER CA 9090 , SUBJECT TO AN INSTALMENT SALE TRANSACTION, FINANCED BY AGRITECH FINANCE - CREDITOR NO 4</t>
  </si>
  <si>
    <t>Concurrent Creditors:</t>
  </si>
  <si>
    <t>ENCUMBERED ASSET ACCOUNT NUMBER 2</t>
  </si>
  <si>
    <t>ENCUMBERED ASSET ACCOUNT NUMBER 1</t>
  </si>
  <si>
    <t>ENCUMBERED ASSET ACCOUNT NUMBER 3</t>
  </si>
  <si>
    <t>Encumbered asset account number 1 - Creditor 1</t>
  </si>
  <si>
    <t>Encumbered asset account number 2 - Creditor 2</t>
  </si>
  <si>
    <t>Encumbered asset account number 3 - Creditor 4</t>
  </si>
  <si>
    <t>Ecumbered asset account number 1</t>
  </si>
  <si>
    <t>Ecumbered asset account number 2</t>
  </si>
  <si>
    <t>Ecumbered asset account number 3</t>
  </si>
  <si>
    <t>Hastings Auctions - pro rata auction held on 21 November 2022 as per Schedule C - Sale of inventory of bottled wine</t>
  </si>
  <si>
    <t>Hastings Auctions - pro rata auction held on 21 November 2022 as per Schedule C - Sale of moveable assets and equipment</t>
  </si>
  <si>
    <t>CREDITOR NO</t>
  </si>
  <si>
    <t>No apportionment required for the auctioneers commission held on 10 November as this relates only to one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</si>
</sst>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0.00_);_(&quot;R&quot;* \(#,##0.00\);_(&quot;R&quot;* &quot;-&quot;??_);_(@_)"/>
    <numFmt numFmtId="43" formatCode="_(* #,##0.00_);_(* \(#,##0.00\);_(* &quot;-&quot;??_);_(@_)"/>
    <numFmt numFmtId="164" formatCode="0.0%"/>
    <numFmt numFmtId="165" formatCode="0.0000"/>
  </numFmts>
  <fonts count="11">
    <font>
      <sz val="11"/>
      <color theme="1"/>
      <name val="Calibri"/>
      <family val="2"/>
      <scheme val="minor"/>
    </font>
    <font>
      <sz val="11"/>
      <color theme="1"/>
      <name val="Calibri"/>
      <family val="2"/>
      <scheme val="minor"/>
    </font>
    <font>
      <b/>
      <sz val="10"/>
      <color theme="1"/>
      <name val="Calibri"/>
      <family val="2"/>
      <scheme val="minor"/>
    </font>
    <font>
      <b/>
      <sz val="10"/>
      <color theme="1"/>
      <name val="Avenir Next"/>
    </font>
    <font>
      <sz val="10"/>
      <color theme="1"/>
      <name val="Avenir Next"/>
    </font>
    <font>
      <b/>
      <u/>
      <sz val="10"/>
      <color theme="1"/>
      <name val="Avenir Next"/>
    </font>
    <font>
      <b/>
      <sz val="9"/>
      <color theme="1"/>
      <name val="Avenir Next"/>
    </font>
    <font>
      <sz val="9"/>
      <color theme="1"/>
      <name val="Avenir Next"/>
    </font>
    <font>
      <i/>
      <sz val="10"/>
      <color theme="1"/>
      <name val="Avenir Next"/>
    </font>
    <font>
      <i/>
      <sz val="9"/>
      <color theme="1"/>
      <name val="Avenir Next"/>
    </font>
    <font>
      <b/>
      <sz val="8"/>
      <color theme="1"/>
      <name val="Avenir Next"/>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3" fillId="0" borderId="0" xfId="0" applyFont="1"/>
    <xf numFmtId="44" fontId="4" fillId="0" borderId="0" xfId="2" applyFont="1"/>
    <xf numFmtId="0" fontId="4" fillId="0" borderId="0" xfId="0" applyFont="1"/>
    <xf numFmtId="44" fontId="3" fillId="0" borderId="0" xfId="2" applyFont="1"/>
    <xf numFmtId="44" fontId="4" fillId="0" borderId="0" xfId="0" applyNumberFormat="1" applyFont="1"/>
    <xf numFmtId="0" fontId="3" fillId="2" borderId="6" xfId="0" applyFont="1" applyFill="1" applyBorder="1"/>
    <xf numFmtId="15" fontId="4" fillId="2" borderId="6" xfId="0" applyNumberFormat="1" applyFont="1" applyFill="1" applyBorder="1"/>
    <xf numFmtId="0" fontId="4" fillId="2" borderId="9" xfId="0" applyFont="1" applyFill="1" applyBorder="1"/>
    <xf numFmtId="0" fontId="3" fillId="2" borderId="12" xfId="0" applyFont="1" applyFill="1" applyBorder="1"/>
    <xf numFmtId="0" fontId="4" fillId="2" borderId="0" xfId="0" applyFont="1" applyFill="1"/>
    <xf numFmtId="44" fontId="5" fillId="0" borderId="0" xfId="2" applyFont="1"/>
    <xf numFmtId="43" fontId="4" fillId="0" borderId="0" xfId="1" applyFont="1"/>
    <xf numFmtId="44" fontId="4" fillId="0" borderId="14" xfId="2" applyFont="1" applyBorder="1"/>
    <xf numFmtId="1" fontId="4" fillId="2" borderId="6" xfId="0" applyNumberFormat="1" applyFont="1" applyFill="1" applyBorder="1"/>
    <xf numFmtId="1" fontId="4" fillId="2" borderId="9" xfId="0" applyNumberFormat="1" applyFont="1" applyFill="1" applyBorder="1"/>
    <xf numFmtId="1" fontId="4" fillId="2" borderId="12" xfId="0" applyNumberFormat="1" applyFont="1" applyFill="1" applyBorder="1"/>
    <xf numFmtId="1" fontId="3" fillId="2" borderId="12" xfId="0" applyNumberFormat="1" applyFont="1" applyFill="1" applyBorder="1"/>
    <xf numFmtId="0" fontId="4" fillId="0" borderId="9" xfId="0" applyFont="1" applyBorder="1"/>
    <xf numFmtId="0" fontId="4" fillId="0" borderId="12" xfId="0" applyFont="1" applyBorder="1"/>
    <xf numFmtId="14" fontId="4" fillId="0" borderId="0" xfId="0" applyNumberFormat="1" applyFont="1"/>
    <xf numFmtId="0" fontId="6" fillId="0" borderId="0" xfId="0" applyFont="1" applyAlignment="1">
      <alignment horizontal="left" wrapText="1"/>
    </xf>
    <xf numFmtId="0" fontId="3" fillId="2" borderId="2" xfId="0" applyFont="1" applyFill="1" applyBorder="1"/>
    <xf numFmtId="0" fontId="3" fillId="2" borderId="3" xfId="0" applyFont="1" applyFill="1" applyBorder="1"/>
    <xf numFmtId="0" fontId="3" fillId="2" borderId="4" xfId="0" applyFont="1" applyFill="1" applyBorder="1"/>
    <xf numFmtId="0" fontId="4" fillId="2" borderId="2" xfId="0" applyFont="1" applyFill="1" applyBorder="1"/>
    <xf numFmtId="0" fontId="3" fillId="2" borderId="1" xfId="0" applyFont="1" applyFill="1" applyBorder="1"/>
    <xf numFmtId="0" fontId="4" fillId="2" borderId="14" xfId="0" applyFont="1" applyFill="1" applyBorder="1"/>
    <xf numFmtId="0" fontId="4" fillId="2" borderId="10" xfId="0" applyFont="1" applyFill="1" applyBorder="1"/>
    <xf numFmtId="44" fontId="4" fillId="2" borderId="14" xfId="2" applyFont="1" applyFill="1" applyBorder="1"/>
    <xf numFmtId="44" fontId="4" fillId="2" borderId="10" xfId="2" applyFont="1" applyFill="1" applyBorder="1"/>
    <xf numFmtId="44" fontId="3" fillId="2" borderId="1" xfId="2" applyFont="1" applyFill="1" applyBorder="1"/>
    <xf numFmtId="44" fontId="3" fillId="2" borderId="4" xfId="2" applyFont="1" applyFill="1" applyBorder="1"/>
    <xf numFmtId="0" fontId="4" fillId="2" borderId="6" xfId="0" applyFont="1" applyFill="1" applyBorder="1"/>
    <xf numFmtId="0" fontId="5" fillId="2" borderId="7" xfId="0" applyFont="1" applyFill="1" applyBorder="1"/>
    <xf numFmtId="0" fontId="4" fillId="2" borderId="7" xfId="0" applyFont="1" applyFill="1" applyBorder="1"/>
    <xf numFmtId="0" fontId="4" fillId="2" borderId="8" xfId="0" applyFont="1" applyFill="1" applyBorder="1"/>
    <xf numFmtId="44" fontId="4" fillId="2" borderId="0" xfId="2" applyFont="1" applyFill="1" applyBorder="1"/>
    <xf numFmtId="44" fontId="4" fillId="2" borderId="5" xfId="2" applyFont="1" applyFill="1" applyBorder="1"/>
    <xf numFmtId="43" fontId="4" fillId="2" borderId="0" xfId="1" applyFont="1" applyFill="1" applyBorder="1"/>
    <xf numFmtId="44" fontId="4" fillId="2" borderId="11" xfId="2" applyFont="1" applyFill="1" applyBorder="1"/>
    <xf numFmtId="44" fontId="4" fillId="2" borderId="4" xfId="2" applyFont="1" applyFill="1" applyBorder="1"/>
    <xf numFmtId="0" fontId="3" fillId="2" borderId="0" xfId="0" applyFont="1" applyFill="1"/>
    <xf numFmtId="44" fontId="3" fillId="2" borderId="0" xfId="2" applyFont="1" applyFill="1" applyBorder="1"/>
    <xf numFmtId="44" fontId="3" fillId="2" borderId="10" xfId="2" applyFont="1" applyFill="1" applyBorder="1"/>
    <xf numFmtId="0" fontId="4" fillId="2" borderId="12" xfId="0" applyFont="1" applyFill="1" applyBorder="1"/>
    <xf numFmtId="0" fontId="4" fillId="2" borderId="5" xfId="0" applyFont="1" applyFill="1" applyBorder="1"/>
    <xf numFmtId="0" fontId="4" fillId="2" borderId="11" xfId="0" applyFont="1" applyFill="1" applyBorder="1"/>
    <xf numFmtId="0" fontId="3" fillId="2" borderId="9" xfId="0" applyFont="1" applyFill="1" applyBorder="1"/>
    <xf numFmtId="44" fontId="4" fillId="2" borderId="0" xfId="0" applyNumberFormat="1" applyFont="1" applyFill="1"/>
    <xf numFmtId="44" fontId="4" fillId="2" borderId="10" xfId="0" applyNumberFormat="1" applyFont="1" applyFill="1" applyBorder="1"/>
    <xf numFmtId="44" fontId="3" fillId="2" borderId="10" xfId="0" applyNumberFormat="1" applyFont="1" applyFill="1" applyBorder="1"/>
    <xf numFmtId="0" fontId="4" fillId="2" borderId="13" xfId="0" applyFont="1" applyFill="1" applyBorder="1"/>
    <xf numFmtId="44" fontId="4" fillId="2" borderId="15" xfId="2" applyFont="1" applyFill="1" applyBorder="1"/>
    <xf numFmtId="0" fontId="4" fillId="2" borderId="15" xfId="0" applyFont="1" applyFill="1" applyBorder="1"/>
    <xf numFmtId="0" fontId="3" fillId="2" borderId="9" xfId="0" applyFont="1" applyFill="1" applyBorder="1" applyAlignment="1">
      <alignment wrapText="1"/>
    </xf>
    <xf numFmtId="44" fontId="3" fillId="2" borderId="14" xfId="2" applyFont="1" applyFill="1" applyBorder="1"/>
    <xf numFmtId="0" fontId="3" fillId="2" borderId="14" xfId="0" applyFont="1" applyFill="1" applyBorder="1"/>
    <xf numFmtId="0" fontId="4" fillId="0" borderId="1" xfId="0" applyFont="1" applyBorder="1"/>
    <xf numFmtId="44" fontId="3" fillId="0" borderId="1" xfId="0" applyNumberFormat="1" applyFont="1" applyBorder="1"/>
    <xf numFmtId="0" fontId="3" fillId="2" borderId="1" xfId="0" applyFont="1" applyFill="1" applyBorder="1" applyAlignment="1">
      <alignment wrapText="1"/>
    </xf>
    <xf numFmtId="0" fontId="3" fillId="2" borderId="4" xfId="0" applyFont="1" applyFill="1" applyBorder="1" applyAlignment="1">
      <alignment wrapText="1"/>
    </xf>
    <xf numFmtId="0" fontId="3" fillId="2" borderId="14" xfId="0" applyFont="1" applyFill="1" applyBorder="1" applyAlignment="1">
      <alignment wrapText="1"/>
    </xf>
    <xf numFmtId="0" fontId="3" fillId="2" borderId="10" xfId="0" applyFont="1" applyFill="1" applyBorder="1" applyAlignment="1">
      <alignment wrapText="1"/>
    </xf>
    <xf numFmtId="0" fontId="3" fillId="2" borderId="10" xfId="0" applyFont="1" applyFill="1" applyBorder="1"/>
    <xf numFmtId="0" fontId="4" fillId="2" borderId="3" xfId="0" applyFont="1" applyFill="1" applyBorder="1"/>
    <xf numFmtId="44" fontId="3" fillId="2" borderId="4" xfId="0" applyNumberFormat="1" applyFont="1" applyFill="1" applyBorder="1"/>
    <xf numFmtId="0" fontId="4" fillId="0" borderId="0" xfId="0" applyFont="1" applyAlignment="1">
      <alignment vertical="center" wrapText="1"/>
    </xf>
    <xf numFmtId="165" fontId="3" fillId="0" borderId="0" xfId="2" applyNumberFormat="1" applyFont="1" applyAlignment="1">
      <alignment horizontal="left"/>
    </xf>
    <xf numFmtId="44" fontId="3" fillId="2" borderId="6" xfId="2" applyFont="1" applyFill="1" applyBorder="1"/>
    <xf numFmtId="44" fontId="3" fillId="2" borderId="7" xfId="2" applyFont="1" applyFill="1" applyBorder="1"/>
    <xf numFmtId="44" fontId="3" fillId="2" borderId="8" xfId="2" applyFont="1" applyFill="1" applyBorder="1"/>
    <xf numFmtId="165" fontId="3" fillId="2" borderId="0" xfId="2" applyNumberFormat="1" applyFont="1" applyFill="1" applyBorder="1"/>
    <xf numFmtId="44" fontId="3" fillId="2" borderId="5" xfId="2" applyFont="1" applyFill="1" applyBorder="1"/>
    <xf numFmtId="44" fontId="3" fillId="2" borderId="11" xfId="2" applyFont="1" applyFill="1" applyBorder="1"/>
    <xf numFmtId="44" fontId="4" fillId="2" borderId="13" xfId="2" applyFont="1" applyFill="1" applyBorder="1"/>
    <xf numFmtId="44" fontId="4" fillId="2" borderId="8" xfId="2" applyFont="1" applyFill="1" applyBorder="1"/>
    <xf numFmtId="0" fontId="3" fillId="2" borderId="5" xfId="0" applyFont="1" applyFill="1" applyBorder="1"/>
    <xf numFmtId="44" fontId="3" fillId="2" borderId="15" xfId="2" applyFont="1" applyFill="1" applyBorder="1"/>
    <xf numFmtId="0" fontId="5" fillId="2" borderId="9" xfId="0" applyFont="1" applyFill="1" applyBorder="1"/>
    <xf numFmtId="0" fontId="5" fillId="2" borderId="0" xfId="0" applyFont="1" applyFill="1"/>
    <xf numFmtId="0" fontId="4" fillId="2" borderId="9" xfId="0" applyFont="1" applyFill="1" applyBorder="1" applyAlignment="1">
      <alignment wrapText="1"/>
    </xf>
    <xf numFmtId="0" fontId="8" fillId="2" borderId="9" xfId="0" applyFont="1" applyFill="1" applyBorder="1"/>
    <xf numFmtId="10" fontId="4" fillId="2" borderId="0" xfId="3" applyNumberFormat="1" applyFont="1" applyFill="1" applyBorder="1"/>
    <xf numFmtId="9" fontId="4" fillId="2" borderId="0" xfId="3" applyFont="1" applyFill="1" applyBorder="1"/>
    <xf numFmtId="0" fontId="8" fillId="2" borderId="6" xfId="0" applyFont="1" applyFill="1" applyBorder="1"/>
    <xf numFmtId="44" fontId="8" fillId="2" borderId="7" xfId="2" applyFont="1" applyFill="1" applyBorder="1"/>
    <xf numFmtId="44" fontId="8" fillId="2" borderId="0" xfId="2" applyFont="1" applyFill="1" applyBorder="1"/>
    <xf numFmtId="44" fontId="8" fillId="2" borderId="5" xfId="2" applyFont="1" applyFill="1" applyBorder="1"/>
    <xf numFmtId="0" fontId="8" fillId="2" borderId="12" xfId="0" applyFont="1" applyFill="1" applyBorder="1" applyAlignment="1">
      <alignment wrapText="1"/>
    </xf>
    <xf numFmtId="44" fontId="8" fillId="2" borderId="3" xfId="2" applyFont="1" applyFill="1" applyBorder="1"/>
    <xf numFmtId="0" fontId="5" fillId="2" borderId="2" xfId="0" applyFont="1" applyFill="1" applyBorder="1"/>
    <xf numFmtId="0" fontId="5" fillId="2" borderId="3" xfId="0" applyFont="1" applyFill="1" applyBorder="1"/>
    <xf numFmtId="44" fontId="5" fillId="2" borderId="2" xfId="2" applyFont="1" applyFill="1" applyBorder="1"/>
    <xf numFmtId="44" fontId="5" fillId="2" borderId="1" xfId="2" applyFont="1" applyFill="1" applyBorder="1"/>
    <xf numFmtId="44" fontId="5" fillId="2" borderId="4" xfId="2" applyFont="1" applyFill="1" applyBorder="1"/>
    <xf numFmtId="44" fontId="4" fillId="2" borderId="9" xfId="2" applyFont="1" applyFill="1" applyBorder="1"/>
    <xf numFmtId="44" fontId="3" fillId="2" borderId="2" xfId="2" applyFont="1" applyFill="1" applyBorder="1"/>
    <xf numFmtId="44" fontId="4" fillId="2" borderId="12" xfId="2" applyFont="1" applyFill="1" applyBorder="1"/>
    <xf numFmtId="44" fontId="4" fillId="2" borderId="0" xfId="2" applyFont="1" applyFill="1"/>
    <xf numFmtId="44" fontId="4" fillId="2" borderId="6" xfId="2" applyFont="1" applyFill="1" applyBorder="1"/>
    <xf numFmtId="44" fontId="7" fillId="2" borderId="0" xfId="0" applyNumberFormat="1" applyFont="1" applyFill="1"/>
    <xf numFmtId="0" fontId="8" fillId="2" borderId="0" xfId="0" applyFont="1" applyFill="1"/>
    <xf numFmtId="9" fontId="4" fillId="2" borderId="0" xfId="3" applyFont="1" applyFill="1"/>
    <xf numFmtId="44" fontId="4" fillId="2" borderId="1" xfId="2" applyFont="1" applyFill="1" applyBorder="1"/>
    <xf numFmtId="44" fontId="3" fillId="2" borderId="12" xfId="2" applyFont="1" applyFill="1" applyBorder="1"/>
    <xf numFmtId="43" fontId="4" fillId="2" borderId="0" xfId="1" applyFont="1" applyFill="1"/>
    <xf numFmtId="44" fontId="3" fillId="2" borderId="13" xfId="2" applyFont="1" applyFill="1" applyBorder="1"/>
    <xf numFmtId="44" fontId="5" fillId="2" borderId="14" xfId="2" applyFont="1" applyFill="1" applyBorder="1"/>
    <xf numFmtId="44" fontId="4" fillId="2" borderId="14" xfId="2" applyFont="1" applyFill="1" applyBorder="1" applyAlignment="1">
      <alignment wrapText="1"/>
    </xf>
    <xf numFmtId="44" fontId="4" fillId="2" borderId="14" xfId="2" applyFont="1" applyFill="1" applyBorder="1" applyAlignment="1">
      <alignment horizontal="left"/>
    </xf>
    <xf numFmtId="44" fontId="4" fillId="2" borderId="14" xfId="2" applyFont="1" applyFill="1" applyBorder="1" applyAlignment="1"/>
    <xf numFmtId="44" fontId="7" fillId="2" borderId="0" xfId="2" applyFont="1" applyFill="1" applyBorder="1"/>
    <xf numFmtId="44" fontId="7" fillId="2" borderId="5" xfId="2" applyFont="1" applyFill="1" applyBorder="1"/>
    <xf numFmtId="164" fontId="4" fillId="2" borderId="0" xfId="3" applyNumberFormat="1" applyFont="1" applyFill="1" applyBorder="1"/>
    <xf numFmtId="44" fontId="9" fillId="2" borderId="7" xfId="2" applyFont="1" applyFill="1" applyBorder="1"/>
    <xf numFmtId="44" fontId="9" fillId="2" borderId="0" xfId="2" applyFont="1" applyFill="1" applyBorder="1"/>
    <xf numFmtId="44" fontId="9" fillId="2" borderId="5" xfId="2" applyFont="1" applyFill="1" applyBorder="1"/>
    <xf numFmtId="44" fontId="9" fillId="2" borderId="3" xfId="2" applyFont="1" applyFill="1" applyBorder="1"/>
    <xf numFmtId="44" fontId="5" fillId="2" borderId="0" xfId="2" applyFont="1" applyFill="1" applyBorder="1"/>
    <xf numFmtId="44" fontId="4" fillId="2" borderId="0" xfId="2" applyFont="1" applyFill="1" applyBorder="1" applyAlignment="1">
      <alignment wrapText="1"/>
    </xf>
    <xf numFmtId="44" fontId="4" fillId="2" borderId="0" xfId="2" applyFont="1" applyFill="1" applyBorder="1" applyAlignment="1"/>
    <xf numFmtId="44" fontId="4" fillId="2" borderId="7" xfId="2" applyFont="1" applyFill="1" applyBorder="1"/>
    <xf numFmtId="0" fontId="8" fillId="2" borderId="12" xfId="0" applyFont="1" applyFill="1" applyBorder="1"/>
    <xf numFmtId="165" fontId="2" fillId="2" borderId="14" xfId="2" applyNumberFormat="1" applyFont="1" applyFill="1" applyBorder="1" applyAlignment="1">
      <alignment horizontal="left"/>
    </xf>
    <xf numFmtId="0" fontId="10" fillId="2" borderId="1" xfId="0" applyFont="1" applyFill="1" applyBorder="1" applyAlignment="1">
      <alignment vertical="center" wrapText="1"/>
    </xf>
    <xf numFmtId="0" fontId="3" fillId="2" borderId="1" xfId="0" applyFont="1" applyFill="1" applyBorder="1" applyAlignment="1">
      <alignment vertical="center" wrapText="1"/>
    </xf>
    <xf numFmtId="44" fontId="3" fillId="2" borderId="1" xfId="2" applyFont="1" applyFill="1" applyBorder="1" applyAlignment="1">
      <alignment vertical="center" wrapText="1"/>
    </xf>
    <xf numFmtId="44" fontId="3" fillId="2" borderId="3" xfId="2" applyFont="1" applyFill="1" applyBorder="1" applyAlignment="1">
      <alignment vertical="center" wrapText="1"/>
    </xf>
    <xf numFmtId="0" fontId="4" fillId="2" borderId="15" xfId="0" applyFont="1" applyFill="1" applyBorder="1" applyAlignment="1">
      <alignment vertical="center" wrapText="1"/>
    </xf>
    <xf numFmtId="0" fontId="4" fillId="2" borderId="15" xfId="0" applyFont="1" applyFill="1" applyBorder="1" applyAlignment="1">
      <alignment wrapText="1"/>
    </xf>
    <xf numFmtId="0" fontId="3" fillId="2" borderId="15" xfId="0" applyFont="1" applyFill="1" applyBorder="1"/>
    <xf numFmtId="44" fontId="3" fillId="2" borderId="0" xfId="2" applyFont="1" applyFill="1"/>
    <xf numFmtId="0" fontId="4" fillId="2" borderId="0" xfId="0" applyFont="1" applyFill="1" applyAlignment="1">
      <alignment wrapText="1"/>
    </xf>
    <xf numFmtId="0" fontId="2" fillId="2" borderId="0" xfId="0" applyFont="1" applyFill="1" applyAlignment="1">
      <alignment horizontal="right"/>
    </xf>
    <xf numFmtId="165" fontId="3" fillId="2" borderId="0" xfId="0" applyNumberFormat="1" applyFont="1" applyFill="1" applyAlignment="1">
      <alignment horizontal="left"/>
    </xf>
    <xf numFmtId="0" fontId="4" fillId="0" borderId="2" xfId="0" applyFont="1" applyBorder="1"/>
    <xf numFmtId="44" fontId="8" fillId="2" borderId="10" xfId="2" applyFont="1" applyFill="1" applyBorder="1"/>
    <xf numFmtId="44" fontId="8" fillId="2" borderId="11" xfId="2" applyFont="1" applyFill="1" applyBorder="1"/>
    <xf numFmtId="44" fontId="8" fillId="2" borderId="8" xfId="2" applyFont="1" applyFill="1" applyBorder="1"/>
    <xf numFmtId="0" fontId="5" fillId="2" borderId="4" xfId="0" applyFont="1" applyFill="1" applyBorder="1"/>
    <xf numFmtId="0" fontId="4" fillId="2" borderId="4" xfId="0" applyFont="1" applyFill="1" applyBorder="1"/>
    <xf numFmtId="0" fontId="3" fillId="2" borderId="8" xfId="0" applyFont="1" applyFill="1" applyBorder="1"/>
    <xf numFmtId="0" fontId="7" fillId="2" borderId="10" xfId="0" applyFont="1" applyFill="1" applyBorder="1"/>
    <xf numFmtId="44" fontId="7" fillId="2" borderId="10" xfId="2" applyFont="1" applyFill="1" applyBorder="1"/>
    <xf numFmtId="44" fontId="7" fillId="2" borderId="11" xfId="0" applyNumberFormat="1" applyFont="1" applyFill="1" applyBorder="1"/>
    <xf numFmtId="44" fontId="4" fillId="2" borderId="14" xfId="0" applyNumberFormat="1" applyFont="1" applyFill="1" applyBorder="1"/>
    <xf numFmtId="44" fontId="3" fillId="2" borderId="1"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left"/>
    </xf>
    <xf numFmtId="0" fontId="3" fillId="2" borderId="4" xfId="0" applyFont="1" applyFill="1" applyBorder="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6" fillId="0" borderId="0" xfId="0" applyFont="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 xfId="0" applyFont="1" applyFill="1" applyBorder="1" applyAlignment="1">
      <alignment horizontal="center"/>
    </xf>
    <xf numFmtId="0" fontId="4" fillId="2" borderId="2" xfId="0" applyFont="1" applyFill="1" applyBorder="1" applyAlignment="1">
      <alignment horizontal="center"/>
    </xf>
    <xf numFmtId="44" fontId="4" fillId="2" borderId="1" xfId="0" applyNumberFormat="1" applyFont="1" applyFill="1" applyBorder="1" applyAlignment="1">
      <alignment horizontal="center"/>
    </xf>
    <xf numFmtId="44" fontId="4" fillId="2" borderId="2" xfId="0" applyNumberFormat="1" applyFont="1" applyFill="1" applyBorder="1" applyAlignment="1">
      <alignment horizontal="center"/>
    </xf>
    <xf numFmtId="0" fontId="4" fillId="2" borderId="3" xfId="0" applyFont="1" applyFill="1" applyBorder="1" applyAlignment="1">
      <alignment horizontal="center"/>
    </xf>
    <xf numFmtId="0" fontId="3" fillId="2" borderId="0" xfId="0" applyFont="1" applyFill="1" applyAlignment="1">
      <alignment horizontal="left" wrapText="1"/>
    </xf>
    <xf numFmtId="0" fontId="3" fillId="2" borderId="10" xfId="0" applyFont="1" applyFill="1" applyBorder="1" applyAlignment="1">
      <alignment horizontal="left" wrapText="1"/>
    </xf>
    <xf numFmtId="0" fontId="3" fillId="0" borderId="0" xfId="0" applyFont="1" applyAlignment="1">
      <alignment horizontal="left" wrapText="1"/>
    </xf>
    <xf numFmtId="0" fontId="3" fillId="2" borderId="9" xfId="0" applyFont="1" applyFill="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12" xfId="0" applyFont="1" applyBorder="1" applyAlignment="1">
      <alignment horizontal="left" wrapText="1"/>
    </xf>
    <xf numFmtId="0" fontId="8" fillId="0" borderId="5" xfId="0" applyFont="1" applyBorder="1" applyAlignment="1">
      <alignment horizontal="left" wrapText="1"/>
    </xf>
    <xf numFmtId="0" fontId="8" fillId="0" borderId="11" xfId="0" applyFont="1" applyBorder="1" applyAlignment="1">
      <alignment horizontal="left" wrapText="1"/>
    </xf>
    <xf numFmtId="0" fontId="4" fillId="2" borderId="9" xfId="0" applyFont="1" applyFill="1" applyBorder="1" applyAlignment="1">
      <alignment horizontal="left"/>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2" xfId="0" applyFont="1" applyBorder="1" applyAlignment="1">
      <alignment horizontal="left"/>
    </xf>
    <xf numFmtId="0" fontId="3" fillId="0" borderId="4" xfId="0" applyFont="1" applyBorder="1" applyAlignment="1">
      <alignment horizontal="left"/>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3" fillId="0" borderId="0" xfId="0" applyFont="1" applyAlignment="1">
      <alignment horizontal="right" vertical="center"/>
    </xf>
    <xf numFmtId="0" fontId="4" fillId="2" borderId="0" xfId="0" applyFont="1" applyFill="1" applyBorder="1"/>
    <xf numFmtId="0" fontId="5" fillId="2" borderId="0" xfId="0" applyFont="1" applyFill="1" applyBorder="1"/>
    <xf numFmtId="0" fontId="4" fillId="2" borderId="0" xfId="0" applyFont="1" applyFill="1" applyBorder="1" applyAlignment="1">
      <alignment horizontal="left" wrapText="1"/>
    </xf>
    <xf numFmtId="0" fontId="4" fillId="2" borderId="0" xfId="0" applyFont="1" applyFill="1" applyBorder="1" applyAlignment="1">
      <alignment horizontal="left"/>
    </xf>
    <xf numFmtId="0" fontId="4" fillId="2" borderId="0" xfId="0" applyFont="1" applyFill="1" applyBorder="1" applyAlignment="1">
      <alignment horizontal="left"/>
    </xf>
    <xf numFmtId="0" fontId="3" fillId="2" borderId="0" xfId="0" applyFont="1" applyFill="1" applyBorder="1"/>
    <xf numFmtId="0" fontId="4" fillId="2" borderId="0" xfId="0" applyFont="1" applyFill="1" applyBorder="1" applyAlignment="1">
      <alignment wrapText="1"/>
    </xf>
    <xf numFmtId="44" fontId="7" fillId="2" borderId="0" xfId="0" applyNumberFormat="1" applyFont="1" applyFill="1" applyBorder="1"/>
    <xf numFmtId="0" fontId="8" fillId="2" borderId="0" xfId="0" applyFont="1" applyFill="1" applyBorder="1"/>
    <xf numFmtId="44" fontId="4" fillId="2" borderId="0" xfId="0" applyNumberFormat="1" applyFont="1" applyFill="1" applyBorder="1"/>
    <xf numFmtId="0" fontId="3" fillId="2" borderId="0" xfId="0" applyFont="1" applyFill="1" applyBorder="1" applyAlignment="1">
      <alignment horizontal="left" wrapText="1"/>
    </xf>
    <xf numFmtId="43" fontId="4" fillId="0" borderId="0" xfId="1" applyNumberFormat="1" applyFont="1"/>
    <xf numFmtId="0" fontId="4" fillId="2" borderId="14" xfId="0" quotePrefix="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2CA8B-71F8-4779-8CFE-87D4CFBCA78D}">
  <dimension ref="B1:D45"/>
  <sheetViews>
    <sheetView topLeftCell="A22" zoomScaleNormal="100" workbookViewId="0">
      <selection activeCell="C45" sqref="C45"/>
    </sheetView>
  </sheetViews>
  <sheetFormatPr defaultRowHeight="13.2"/>
  <cols>
    <col min="1" max="1" width="1.44140625" style="3" customWidth="1"/>
    <col min="2" max="2" width="52.33203125" style="3" bestFit="1" customWidth="1"/>
    <col min="3" max="4" width="15.44140625" style="2" bestFit="1" customWidth="1"/>
    <col min="5" max="16384" width="8.88671875" style="3"/>
  </cols>
  <sheetData>
    <row r="1" spans="2:4">
      <c r="B1" s="1" t="s">
        <v>95</v>
      </c>
    </row>
    <row r="3" spans="2:4">
      <c r="B3" s="148" t="s">
        <v>8</v>
      </c>
      <c r="C3" s="149"/>
      <c r="D3" s="150"/>
    </row>
    <row r="4" spans="2:4">
      <c r="B4" s="22" t="s">
        <v>9</v>
      </c>
      <c r="C4" s="31" t="s">
        <v>10</v>
      </c>
      <c r="D4" s="32" t="s">
        <v>11</v>
      </c>
    </row>
    <row r="5" spans="2:4">
      <c r="B5" s="8"/>
      <c r="C5" s="29"/>
      <c r="D5" s="30"/>
    </row>
    <row r="6" spans="2:4">
      <c r="B6" s="8" t="s">
        <v>12</v>
      </c>
      <c r="C6" s="29"/>
      <c r="D6" s="30">
        <v>13552455.810000001</v>
      </c>
    </row>
    <row r="7" spans="2:4">
      <c r="B7" s="8"/>
      <c r="C7" s="29"/>
      <c r="D7" s="30"/>
    </row>
    <row r="8" spans="2:4">
      <c r="B8" s="48" t="s">
        <v>13</v>
      </c>
      <c r="C8" s="29"/>
      <c r="D8" s="30"/>
    </row>
    <row r="9" spans="2:4">
      <c r="B9" s="8"/>
      <c r="C9" s="29"/>
      <c r="D9" s="30"/>
    </row>
    <row r="10" spans="2:4">
      <c r="B10" s="8"/>
      <c r="C10" s="29"/>
      <c r="D10" s="30"/>
    </row>
    <row r="11" spans="2:4">
      <c r="B11" s="48" t="s">
        <v>14</v>
      </c>
      <c r="C11" s="29"/>
      <c r="D11" s="30"/>
    </row>
    <row r="12" spans="2:4">
      <c r="B12" s="8" t="s">
        <v>100</v>
      </c>
      <c r="C12" s="29">
        <v>26000</v>
      </c>
      <c r="D12" s="30"/>
    </row>
    <row r="13" spans="2:4">
      <c r="B13" s="8" t="s">
        <v>171</v>
      </c>
      <c r="C13" s="29">
        <v>275000</v>
      </c>
      <c r="D13" s="30"/>
    </row>
    <row r="14" spans="2:4">
      <c r="B14" s="8" t="s">
        <v>170</v>
      </c>
      <c r="C14" s="29">
        <f>'Schedule A,B C &amp; D'!F93</f>
        <v>886850.92366500001</v>
      </c>
      <c r="D14" s="30"/>
    </row>
    <row r="15" spans="2:4">
      <c r="B15" s="8"/>
      <c r="C15" s="29"/>
      <c r="D15" s="30"/>
    </row>
    <row r="16" spans="2:4">
      <c r="B16" s="8" t="s">
        <v>153</v>
      </c>
      <c r="C16" s="29">
        <v>37.82</v>
      </c>
      <c r="D16" s="30"/>
    </row>
    <row r="17" spans="2:4">
      <c r="B17" s="8" t="s">
        <v>154</v>
      </c>
      <c r="C17" s="29">
        <v>150</v>
      </c>
      <c r="D17" s="30"/>
    </row>
    <row r="18" spans="2:4">
      <c r="B18" s="8" t="s">
        <v>125</v>
      </c>
      <c r="C18" s="29">
        <v>1030</v>
      </c>
      <c r="D18" s="30"/>
    </row>
    <row r="19" spans="2:4">
      <c r="B19" s="8" t="s">
        <v>169</v>
      </c>
      <c r="C19" s="29">
        <f>'Schedule A,B C &amp; D'!F122</f>
        <v>1655201.672130652</v>
      </c>
      <c r="D19" s="30"/>
    </row>
    <row r="20" spans="2:4">
      <c r="B20" s="8"/>
      <c r="C20" s="29"/>
      <c r="D20" s="30"/>
    </row>
    <row r="21" spans="2:4">
      <c r="B21" s="8"/>
      <c r="C21" s="29"/>
      <c r="D21" s="30"/>
    </row>
    <row r="22" spans="2:4">
      <c r="B22" s="8"/>
      <c r="C22" s="29"/>
      <c r="D22" s="30"/>
    </row>
    <row r="23" spans="2:4">
      <c r="B23" s="8"/>
      <c r="C23" s="29"/>
      <c r="D23" s="30"/>
    </row>
    <row r="24" spans="2:4">
      <c r="B24" s="48" t="s">
        <v>15</v>
      </c>
      <c r="C24" s="29"/>
      <c r="D24" s="30"/>
    </row>
    <row r="25" spans="2:4">
      <c r="B25" s="8"/>
      <c r="C25" s="29"/>
      <c r="D25" s="30"/>
    </row>
    <row r="26" spans="2:4">
      <c r="B26" s="8" t="s">
        <v>189</v>
      </c>
      <c r="C26" s="29">
        <f>'EC Asset 1'!E35</f>
        <v>6946200.7178378832</v>
      </c>
      <c r="D26" s="30"/>
    </row>
    <row r="27" spans="2:4">
      <c r="B27" s="8" t="s">
        <v>190</v>
      </c>
      <c r="C27" s="29">
        <f>'EC Asset 2'!E40</f>
        <v>2568390.4266909016</v>
      </c>
      <c r="D27" s="30"/>
    </row>
    <row r="28" spans="2:4">
      <c r="B28" s="8" t="s">
        <v>191</v>
      </c>
      <c r="C28" s="29">
        <f>'EC Asset 3'!E29</f>
        <v>861378.6209355566</v>
      </c>
      <c r="D28" s="30"/>
    </row>
    <row r="29" spans="2:4">
      <c r="B29" s="8"/>
      <c r="C29" s="29"/>
      <c r="D29" s="30"/>
    </row>
    <row r="30" spans="2:4">
      <c r="B30" s="8"/>
      <c r="C30" s="29"/>
      <c r="D30" s="30"/>
    </row>
    <row r="31" spans="2:4">
      <c r="B31" s="48" t="s">
        <v>16</v>
      </c>
      <c r="C31" s="29"/>
      <c r="D31" s="30"/>
    </row>
    <row r="32" spans="2:4">
      <c r="B32" s="8"/>
      <c r="C32" s="29"/>
      <c r="D32" s="30"/>
    </row>
    <row r="33" spans="2:4">
      <c r="B33" s="8" t="s">
        <v>17</v>
      </c>
      <c r="C33" s="29"/>
      <c r="D33" s="30"/>
    </row>
    <row r="34" spans="2:4">
      <c r="B34" s="8" t="s">
        <v>155</v>
      </c>
      <c r="C34" s="29">
        <v>16000</v>
      </c>
      <c r="D34" s="30"/>
    </row>
    <row r="35" spans="2:4">
      <c r="B35" s="8" t="s">
        <v>156</v>
      </c>
      <c r="C35" s="29">
        <v>9000</v>
      </c>
      <c r="D35" s="30"/>
    </row>
    <row r="36" spans="2:4">
      <c r="B36" s="8" t="s">
        <v>167</v>
      </c>
      <c r="C36" s="29">
        <v>119345.02</v>
      </c>
      <c r="D36" s="30"/>
    </row>
    <row r="37" spans="2:4">
      <c r="B37" s="8" t="s">
        <v>168</v>
      </c>
      <c r="C37" s="29">
        <v>17841.62</v>
      </c>
      <c r="D37" s="30"/>
    </row>
    <row r="38" spans="2:4">
      <c r="B38" s="8"/>
      <c r="C38" s="29"/>
      <c r="D38" s="30"/>
    </row>
    <row r="39" spans="2:4">
      <c r="B39" s="48" t="s">
        <v>166</v>
      </c>
      <c r="C39" s="29">
        <v>170028.99</v>
      </c>
      <c r="D39" s="30"/>
    </row>
    <row r="40" spans="2:4">
      <c r="B40" s="8"/>
      <c r="C40" s="29"/>
      <c r="D40" s="30"/>
    </row>
    <row r="41" spans="2:4">
      <c r="B41" s="8"/>
      <c r="C41" s="29"/>
      <c r="D41" s="30"/>
    </row>
    <row r="42" spans="2:4">
      <c r="B42" s="6" t="s">
        <v>96</v>
      </c>
      <c r="C42" s="107">
        <f>SUM(C6:C41)</f>
        <v>13552455.811259994</v>
      </c>
      <c r="D42" s="71">
        <f>SUM(D6:D41)</f>
        <v>13552455.810000001</v>
      </c>
    </row>
    <row r="43" spans="2:4">
      <c r="B43" s="9"/>
      <c r="C43" s="78"/>
      <c r="D43" s="74"/>
    </row>
    <row r="45" spans="2:4">
      <c r="C45" s="194">
        <f>D42-C42</f>
        <v>-1.2599937617778778E-3</v>
      </c>
    </row>
  </sheetData>
  <mergeCells count="1">
    <mergeCell ref="B3:D3"/>
  </mergeCells>
  <pageMargins left="0.70866141732283472" right="0.70866141732283472" top="0.74803149606299213" bottom="0.74803149606299213" header="0.31496062992125984" footer="0.31496062992125984"/>
  <pageSetup scale="97" orientation="portrait" r:id="rId1"/>
  <headerFooter>
    <oddFooter>&amp;L202324-1083.Paper2Summative&amp;RPage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635A-EADA-469B-80D4-BBA97629256D}">
  <dimension ref="A1:H70"/>
  <sheetViews>
    <sheetView topLeftCell="A39" zoomScaleNormal="100" workbookViewId="0">
      <selection activeCell="E35" sqref="E35"/>
    </sheetView>
  </sheetViews>
  <sheetFormatPr defaultColWidth="14.21875" defaultRowHeight="13.2"/>
  <cols>
    <col min="1" max="1" width="1" style="3" customWidth="1"/>
    <col min="2" max="2" width="20.33203125" style="3" customWidth="1"/>
    <col min="3" max="3" width="14.21875" style="3"/>
    <col min="4" max="4" width="14.33203125" style="2" customWidth="1"/>
    <col min="5" max="5" width="14.44140625" style="2" bestFit="1" customWidth="1"/>
    <col min="6" max="6" width="18.21875" style="2" bestFit="1" customWidth="1"/>
    <col min="7" max="16384" width="14.21875" style="3"/>
  </cols>
  <sheetData>
    <row r="1" spans="1:8">
      <c r="B1" s="1" t="s">
        <v>95</v>
      </c>
    </row>
    <row r="2" spans="1:8">
      <c r="A2" s="1"/>
      <c r="B2" s="1" t="s">
        <v>187</v>
      </c>
      <c r="C2" s="1"/>
    </row>
    <row r="3" spans="1:8">
      <c r="A3" s="1"/>
    </row>
    <row r="4" spans="1:8" ht="31.8" customHeight="1">
      <c r="A4" s="1"/>
      <c r="B4" s="155" t="s">
        <v>183</v>
      </c>
      <c r="C4" s="155"/>
      <c r="D4" s="155"/>
      <c r="E4" s="155"/>
      <c r="F4" s="155"/>
    </row>
    <row r="6" spans="1:8">
      <c r="B6" s="91" t="s">
        <v>9</v>
      </c>
      <c r="C6" s="92"/>
      <c r="D6" s="93" t="s">
        <v>18</v>
      </c>
      <c r="E6" s="94" t="s">
        <v>10</v>
      </c>
      <c r="F6" s="95" t="s">
        <v>11</v>
      </c>
    </row>
    <row r="7" spans="1:8">
      <c r="B7" s="10"/>
      <c r="C7" s="10"/>
      <c r="D7" s="96"/>
      <c r="E7" s="29"/>
      <c r="F7" s="30"/>
    </row>
    <row r="8" spans="1:8">
      <c r="B8" s="80" t="s">
        <v>19</v>
      </c>
      <c r="C8" s="80"/>
      <c r="D8" s="96"/>
      <c r="E8" s="29"/>
      <c r="F8" s="30"/>
    </row>
    <row r="9" spans="1:8">
      <c r="B9" s="80"/>
      <c r="C9" s="80"/>
      <c r="D9" s="96"/>
      <c r="E9" s="29"/>
      <c r="F9" s="30"/>
    </row>
    <row r="10" spans="1:8" ht="57" customHeight="1">
      <c r="B10" s="154" t="s">
        <v>97</v>
      </c>
      <c r="C10" s="154"/>
      <c r="D10" s="96">
        <f>F10/115*15</f>
        <v>1186956.5217391304</v>
      </c>
      <c r="E10" s="29"/>
      <c r="F10" s="30">
        <v>9100000</v>
      </c>
      <c r="G10" s="5"/>
      <c r="H10" s="5"/>
    </row>
    <row r="11" spans="1:8">
      <c r="B11" s="10"/>
      <c r="C11" s="10"/>
      <c r="D11" s="96"/>
      <c r="E11" s="29"/>
      <c r="F11" s="30"/>
    </row>
    <row r="12" spans="1:8">
      <c r="B12" s="10"/>
      <c r="C12" s="10"/>
      <c r="D12" s="96"/>
      <c r="E12" s="29"/>
      <c r="F12" s="30"/>
    </row>
    <row r="13" spans="1:8">
      <c r="B13" s="80" t="s">
        <v>20</v>
      </c>
      <c r="C13" s="80"/>
      <c r="D13" s="96"/>
      <c r="E13" s="29"/>
      <c r="F13" s="30"/>
    </row>
    <row r="14" spans="1:8">
      <c r="B14" s="10"/>
      <c r="C14" s="10"/>
      <c r="D14" s="96"/>
      <c r="E14" s="29"/>
      <c r="F14" s="30"/>
    </row>
    <row r="15" spans="1:8" ht="30" customHeight="1">
      <c r="B15" s="154" t="s">
        <v>21</v>
      </c>
      <c r="C15" s="154"/>
      <c r="D15" s="96">
        <v>0</v>
      </c>
      <c r="E15" s="29">
        <f>'Schedule A,B C &amp; D'!E8</f>
        <v>175812.96974547047</v>
      </c>
      <c r="F15" s="30"/>
    </row>
    <row r="16" spans="1:8">
      <c r="B16" s="10"/>
      <c r="C16" s="10"/>
      <c r="D16" s="96"/>
      <c r="E16" s="29"/>
      <c r="F16" s="30"/>
    </row>
    <row r="17" spans="2:6">
      <c r="B17" s="153" t="s">
        <v>22</v>
      </c>
      <c r="C17" s="153"/>
      <c r="D17" s="96"/>
      <c r="E17" s="29"/>
      <c r="F17" s="30"/>
    </row>
    <row r="18" spans="2:6" ht="32.4" customHeight="1">
      <c r="B18" s="154" t="s">
        <v>47</v>
      </c>
      <c r="C18" s="154"/>
      <c r="D18" s="96">
        <f>E18/115*15</f>
        <v>4336.2566451056755</v>
      </c>
      <c r="E18" s="29">
        <f>'Schedule A,B C &amp; D'!F8</f>
        <v>33244.634279143509</v>
      </c>
      <c r="F18" s="30"/>
    </row>
    <row r="19" spans="2:6">
      <c r="B19" s="10"/>
      <c r="C19" s="10"/>
      <c r="D19" s="96"/>
      <c r="E19" s="29"/>
      <c r="F19" s="30"/>
    </row>
    <row r="20" spans="2:6">
      <c r="B20" s="153" t="s">
        <v>23</v>
      </c>
      <c r="C20" s="153"/>
      <c r="D20" s="96">
        <f>E20/115*15</f>
        <v>40148.804347826088</v>
      </c>
      <c r="E20" s="29">
        <f>'Schedule A,B C &amp; D'!F40</f>
        <v>307807.5</v>
      </c>
      <c r="F20" s="30"/>
    </row>
    <row r="21" spans="2:6">
      <c r="B21" s="10"/>
      <c r="C21" s="10"/>
      <c r="D21" s="96"/>
      <c r="E21" s="29"/>
      <c r="F21" s="30"/>
    </row>
    <row r="22" spans="2:6" ht="30.6" customHeight="1">
      <c r="B22" s="154" t="s">
        <v>48</v>
      </c>
      <c r="C22" s="154"/>
      <c r="D22" s="96"/>
      <c r="E22" s="29"/>
      <c r="F22" s="30"/>
    </row>
    <row r="23" spans="2:6" ht="43.2" customHeight="1">
      <c r="B23" s="154" t="s">
        <v>49</v>
      </c>
      <c r="C23" s="154"/>
      <c r="D23" s="96">
        <v>0</v>
      </c>
      <c r="E23" s="29">
        <v>124897.5</v>
      </c>
      <c r="F23" s="30"/>
    </row>
    <row r="24" spans="2:6">
      <c r="B24" s="10"/>
      <c r="C24" s="10"/>
      <c r="D24" s="96"/>
      <c r="E24" s="29"/>
      <c r="F24" s="30"/>
    </row>
    <row r="25" spans="2:6" ht="27.6" customHeight="1">
      <c r="B25" s="154" t="s">
        <v>70</v>
      </c>
      <c r="C25" s="154"/>
      <c r="D25" s="96">
        <f>E25/115*15</f>
        <v>55434.782608695656</v>
      </c>
      <c r="E25" s="29">
        <v>425000</v>
      </c>
      <c r="F25" s="30"/>
    </row>
    <row r="26" spans="2:6">
      <c r="B26" s="10"/>
      <c r="C26" s="10"/>
      <c r="D26" s="96"/>
      <c r="E26" s="29"/>
      <c r="F26" s="30"/>
    </row>
    <row r="27" spans="2:6">
      <c r="B27" s="10" t="s">
        <v>86</v>
      </c>
      <c r="C27" s="10"/>
      <c r="D27" s="96"/>
      <c r="E27" s="29">
        <f>D10-D29</f>
        <v>1087036.6781375029</v>
      </c>
      <c r="F27" s="30"/>
    </row>
    <row r="28" spans="2:6">
      <c r="B28" s="10"/>
      <c r="C28" s="10"/>
      <c r="D28" s="96"/>
      <c r="E28" s="29"/>
      <c r="F28" s="30"/>
    </row>
    <row r="29" spans="2:6">
      <c r="B29" s="22" t="s">
        <v>92</v>
      </c>
      <c r="C29" s="23"/>
      <c r="D29" s="97">
        <f>SUM(D15:D28)</f>
        <v>99919.843601627421</v>
      </c>
      <c r="E29" s="31">
        <f>SUM(E15:E28)</f>
        <v>2153799.2821621168</v>
      </c>
      <c r="F29" s="30"/>
    </row>
    <row r="30" spans="2:6">
      <c r="B30" s="25"/>
      <c r="C30" s="141"/>
      <c r="D30" s="98"/>
      <c r="E30" s="53"/>
      <c r="F30" s="40"/>
    </row>
    <row r="31" spans="2:6">
      <c r="B31" s="10"/>
      <c r="C31" s="10"/>
      <c r="D31" s="37"/>
      <c r="E31" s="37"/>
      <c r="F31" s="37"/>
    </row>
    <row r="32" spans="2:6">
      <c r="B32" s="42" t="s">
        <v>64</v>
      </c>
      <c r="C32" s="10"/>
      <c r="D32" s="99"/>
      <c r="E32" s="99"/>
      <c r="F32" s="99"/>
    </row>
    <row r="33" spans="2:7">
      <c r="B33" s="6"/>
      <c r="C33" s="142"/>
      <c r="D33" s="100"/>
      <c r="E33" s="75"/>
      <c r="F33" s="76"/>
    </row>
    <row r="34" spans="2:7">
      <c r="B34" s="8"/>
      <c r="C34" s="28"/>
      <c r="D34" s="96"/>
      <c r="E34" s="29"/>
      <c r="F34" s="30"/>
    </row>
    <row r="35" spans="2:7" ht="43.2" customHeight="1">
      <c r="B35" s="156" t="s">
        <v>84</v>
      </c>
      <c r="C35" s="157"/>
      <c r="D35" s="96"/>
      <c r="E35" s="29">
        <v>6946200.7178378832</v>
      </c>
      <c r="F35" s="30"/>
    </row>
    <row r="36" spans="2:7">
      <c r="B36" s="8"/>
      <c r="C36" s="143"/>
      <c r="D36" s="96"/>
      <c r="E36" s="29"/>
      <c r="F36" s="30"/>
    </row>
    <row r="37" spans="2:7">
      <c r="B37" s="8" t="s">
        <v>66</v>
      </c>
      <c r="C37" s="144">
        <v>8946765.3200000003</v>
      </c>
      <c r="D37" s="96"/>
      <c r="E37" s="29"/>
      <c r="F37" s="30"/>
    </row>
    <row r="38" spans="2:7">
      <c r="B38" s="8" t="s">
        <v>68</v>
      </c>
      <c r="C38" s="145">
        <f>B59</f>
        <v>665737.38655123301</v>
      </c>
      <c r="D38" s="96"/>
      <c r="E38" s="29"/>
      <c r="F38" s="30"/>
    </row>
    <row r="39" spans="2:7">
      <c r="B39" s="45" t="s">
        <v>83</v>
      </c>
      <c r="C39" s="145">
        <f>SUM(C37:C38)</f>
        <v>9612502.7065512333</v>
      </c>
      <c r="D39" s="98"/>
      <c r="E39" s="53"/>
      <c r="F39" s="40"/>
    </row>
    <row r="40" spans="2:7">
      <c r="B40" s="10"/>
      <c r="C40" s="101"/>
      <c r="D40" s="99"/>
      <c r="E40" s="99"/>
      <c r="F40" s="99"/>
    </row>
    <row r="41" spans="2:7">
      <c r="B41" s="102" t="s">
        <v>69</v>
      </c>
      <c r="C41" s="49"/>
      <c r="D41" s="99"/>
      <c r="E41" s="99"/>
      <c r="F41" s="99"/>
    </row>
    <row r="42" spans="2:7">
      <c r="B42" s="10"/>
      <c r="C42" s="10"/>
      <c r="D42" s="75"/>
      <c r="E42" s="100"/>
      <c r="F42" s="75"/>
    </row>
    <row r="43" spans="2:7">
      <c r="B43" s="6" t="s">
        <v>82</v>
      </c>
      <c r="C43" s="6" t="s">
        <v>72</v>
      </c>
      <c r="D43" s="29"/>
      <c r="E43" s="96"/>
      <c r="F43" s="29"/>
    </row>
    <row r="44" spans="2:7">
      <c r="B44" s="7" t="s">
        <v>75</v>
      </c>
      <c r="C44" s="14">
        <v>26</v>
      </c>
      <c r="D44" s="29"/>
      <c r="E44" s="96"/>
      <c r="F44" s="29"/>
    </row>
    <row r="45" spans="2:7">
      <c r="B45" s="8" t="s">
        <v>76</v>
      </c>
      <c r="C45" s="15">
        <v>31</v>
      </c>
      <c r="D45" s="29"/>
      <c r="E45" s="96"/>
      <c r="F45" s="29"/>
    </row>
    <row r="46" spans="2:7">
      <c r="B46" s="8" t="s">
        <v>77</v>
      </c>
      <c r="C46" s="15">
        <v>30</v>
      </c>
      <c r="D46" s="29"/>
      <c r="E46" s="96"/>
      <c r="F46" s="29"/>
      <c r="G46" s="20"/>
    </row>
    <row r="47" spans="2:7">
      <c r="B47" s="8" t="s">
        <v>78</v>
      </c>
      <c r="C47" s="15">
        <v>31</v>
      </c>
      <c r="D47" s="29"/>
      <c r="E47" s="96"/>
      <c r="F47" s="29"/>
      <c r="G47" s="20"/>
    </row>
    <row r="48" spans="2:7">
      <c r="B48" s="8" t="s">
        <v>79</v>
      </c>
      <c r="C48" s="15">
        <v>31</v>
      </c>
      <c r="D48" s="29"/>
      <c r="E48" s="96"/>
      <c r="F48" s="29"/>
    </row>
    <row r="49" spans="2:7">
      <c r="B49" s="8" t="s">
        <v>80</v>
      </c>
      <c r="C49" s="15">
        <v>28</v>
      </c>
      <c r="D49" s="29"/>
      <c r="E49" s="96"/>
      <c r="F49" s="29"/>
    </row>
    <row r="50" spans="2:7">
      <c r="B50" s="8" t="s">
        <v>81</v>
      </c>
      <c r="C50" s="15">
        <v>17</v>
      </c>
      <c r="D50" s="29"/>
      <c r="E50" s="96"/>
      <c r="F50" s="29"/>
    </row>
    <row r="51" spans="2:7">
      <c r="B51" s="8"/>
      <c r="C51" s="16"/>
      <c r="D51" s="29"/>
      <c r="E51" s="96"/>
      <c r="F51" s="29"/>
    </row>
    <row r="52" spans="2:7">
      <c r="B52" s="9" t="s">
        <v>71</v>
      </c>
      <c r="C52" s="17">
        <v>194</v>
      </c>
      <c r="D52" s="29"/>
      <c r="E52" s="96"/>
      <c r="F52" s="29"/>
      <c r="G52" s="5"/>
    </row>
    <row r="53" spans="2:7">
      <c r="B53" s="10"/>
      <c r="C53" s="10"/>
      <c r="D53" s="29"/>
      <c r="E53" s="96"/>
      <c r="F53" s="29"/>
    </row>
    <row r="54" spans="2:7">
      <c r="B54" s="10" t="s">
        <v>73</v>
      </c>
      <c r="C54" s="103">
        <v>0.14000000000000001</v>
      </c>
      <c r="D54" s="29"/>
      <c r="E54" s="96"/>
      <c r="F54" s="29"/>
    </row>
    <row r="55" spans="2:7">
      <c r="B55" s="10"/>
      <c r="C55" s="103"/>
      <c r="D55" s="29"/>
      <c r="E55" s="96"/>
      <c r="F55" s="29"/>
    </row>
    <row r="56" spans="2:7">
      <c r="B56" s="102" t="s">
        <v>85</v>
      </c>
      <c r="C56" s="10"/>
      <c r="D56" s="29"/>
      <c r="E56" s="96"/>
      <c r="F56" s="29"/>
    </row>
    <row r="57" spans="2:7">
      <c r="B57" s="158" t="s">
        <v>74</v>
      </c>
      <c r="C57" s="159"/>
      <c r="D57" s="29"/>
      <c r="E57" s="96"/>
      <c r="F57" s="29"/>
    </row>
    <row r="58" spans="2:7">
      <c r="B58" s="159"/>
      <c r="C58" s="162"/>
      <c r="D58" s="29"/>
      <c r="E58" s="96"/>
      <c r="F58" s="29"/>
    </row>
    <row r="59" spans="2:7" ht="14.4" customHeight="1">
      <c r="B59" s="160">
        <f>C37*C52/365*C54</f>
        <v>665737.38655123301</v>
      </c>
      <c r="C59" s="161"/>
      <c r="D59" s="29"/>
      <c r="E59" s="96"/>
      <c r="F59" s="29"/>
    </row>
    <row r="60" spans="2:7">
      <c r="B60" s="10"/>
      <c r="C60" s="10"/>
      <c r="D60" s="29"/>
      <c r="E60" s="96"/>
      <c r="F60" s="29"/>
    </row>
    <row r="61" spans="2:7">
      <c r="B61" s="10"/>
      <c r="C61" s="10"/>
      <c r="D61" s="29"/>
      <c r="E61" s="98"/>
      <c r="F61" s="53"/>
    </row>
    <row r="62" spans="2:7">
      <c r="B62" s="151" t="s">
        <v>35</v>
      </c>
      <c r="C62" s="152"/>
      <c r="D62" s="104"/>
      <c r="E62" s="105">
        <f>SUM(E29:E61)</f>
        <v>9100000</v>
      </c>
      <c r="F62" s="78">
        <f>F10</f>
        <v>9100000</v>
      </c>
    </row>
    <row r="63" spans="2:7">
      <c r="B63" s="10"/>
      <c r="C63" s="10"/>
      <c r="D63" s="99"/>
      <c r="E63" s="99"/>
      <c r="F63" s="99"/>
    </row>
    <row r="64" spans="2:7">
      <c r="B64" s="153" t="s">
        <v>87</v>
      </c>
      <c r="C64" s="153"/>
      <c r="D64" s="153"/>
      <c r="E64" s="99"/>
      <c r="F64" s="99"/>
    </row>
    <row r="65" spans="2:6" ht="28.2" customHeight="1">
      <c r="B65" s="154" t="s">
        <v>181</v>
      </c>
      <c r="C65" s="154"/>
      <c r="D65" s="154"/>
      <c r="E65" s="106">
        <f>F62-E62</f>
        <v>0</v>
      </c>
      <c r="F65" s="99"/>
    </row>
    <row r="66" spans="2:6">
      <c r="B66" s="10"/>
      <c r="C66" s="10"/>
      <c r="D66" s="99"/>
      <c r="E66" s="106"/>
      <c r="F66" s="99"/>
    </row>
    <row r="67" spans="2:6">
      <c r="B67" s="10" t="s">
        <v>88</v>
      </c>
      <c r="C67" s="10"/>
      <c r="D67" s="99"/>
      <c r="E67" s="99"/>
      <c r="F67" s="99"/>
    </row>
    <row r="68" spans="2:6">
      <c r="B68" s="10" t="s">
        <v>89</v>
      </c>
      <c r="C68" s="10"/>
      <c r="D68" s="99"/>
      <c r="E68" s="99"/>
      <c r="F68" s="99"/>
    </row>
    <row r="69" spans="2:6">
      <c r="B69" s="10" t="s">
        <v>90</v>
      </c>
      <c r="C69" s="10"/>
      <c r="D69" s="99"/>
      <c r="E69" s="99"/>
      <c r="F69" s="99"/>
    </row>
    <row r="70" spans="2:6">
      <c r="B70" s="10" t="s">
        <v>91</v>
      </c>
      <c r="C70" s="10"/>
      <c r="D70" s="99"/>
      <c r="E70" s="99"/>
      <c r="F70" s="99"/>
    </row>
  </sheetData>
  <mergeCells count="16">
    <mergeCell ref="B62:C62"/>
    <mergeCell ref="B64:D64"/>
    <mergeCell ref="B65:D65"/>
    <mergeCell ref="B4:F4"/>
    <mergeCell ref="B23:C23"/>
    <mergeCell ref="B25:C25"/>
    <mergeCell ref="B35:C35"/>
    <mergeCell ref="B57:C57"/>
    <mergeCell ref="B59:C59"/>
    <mergeCell ref="B58:C58"/>
    <mergeCell ref="B10:C10"/>
    <mergeCell ref="B15:C15"/>
    <mergeCell ref="B17:C17"/>
    <mergeCell ref="B18:C18"/>
    <mergeCell ref="B20:C20"/>
    <mergeCell ref="B22:C22"/>
  </mergeCells>
  <pageMargins left="0.70866141732283472" right="0.70866141732283472" top="0.74803149606299213" bottom="0.74803149606299213" header="0.31496062992125984" footer="0.31496062992125984"/>
  <pageSetup scale="98" orientation="portrait" r:id="rId1"/>
  <headerFooter>
    <oddFooter>&amp;L202324-1083.Paper2Summative&amp;RPage  &amp;P of &amp;N</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1636-14DE-4C86-8C75-0559056E3A7F}">
  <dimension ref="A1:G81"/>
  <sheetViews>
    <sheetView topLeftCell="A69" zoomScaleNormal="100" workbookViewId="0">
      <selection activeCell="D29" sqref="D29"/>
    </sheetView>
  </sheetViews>
  <sheetFormatPr defaultColWidth="14.21875" defaultRowHeight="13.2"/>
  <cols>
    <col min="1" max="1" width="1.6640625" style="3" customWidth="1"/>
    <col min="2" max="2" width="31.5546875" style="3" customWidth="1"/>
    <col min="3" max="3" width="14.33203125" style="3" bestFit="1" customWidth="1"/>
    <col min="4" max="4" width="12.44140625" style="2" bestFit="1" customWidth="1"/>
    <col min="5" max="6" width="14.44140625" style="2" bestFit="1" customWidth="1"/>
    <col min="7" max="7" width="14.21875" style="2"/>
    <col min="8" max="16384" width="14.21875" style="3"/>
  </cols>
  <sheetData>
    <row r="1" spans="1:7">
      <c r="A1" s="1"/>
      <c r="B1" s="1" t="s">
        <v>95</v>
      </c>
      <c r="C1" s="1"/>
      <c r="D1" s="4"/>
    </row>
    <row r="2" spans="1:7">
      <c r="A2" s="1"/>
      <c r="B2" s="1" t="s">
        <v>186</v>
      </c>
    </row>
    <row r="3" spans="1:7">
      <c r="A3" s="1"/>
      <c r="B3" s="1"/>
    </row>
    <row r="4" spans="1:7" ht="37.799999999999997" customHeight="1">
      <c r="A4" s="1"/>
      <c r="B4" s="155" t="s">
        <v>182</v>
      </c>
      <c r="C4" s="155"/>
      <c r="D4" s="155"/>
      <c r="E4" s="155"/>
      <c r="F4" s="155"/>
    </row>
    <row r="5" spans="1:7" ht="10.199999999999999" customHeight="1">
      <c r="A5" s="1"/>
      <c r="B5" s="21"/>
      <c r="C5" s="21"/>
      <c r="D5" s="21"/>
      <c r="E5" s="21"/>
      <c r="F5" s="21"/>
    </row>
    <row r="7" spans="1:7">
      <c r="A7" s="25"/>
      <c r="B7" s="92" t="s">
        <v>9</v>
      </c>
      <c r="C7" s="140"/>
      <c r="D7" s="95" t="s">
        <v>18</v>
      </c>
      <c r="E7" s="94" t="s">
        <v>10</v>
      </c>
      <c r="F7" s="94" t="s">
        <v>11</v>
      </c>
      <c r="G7" s="11"/>
    </row>
    <row r="8" spans="1:7">
      <c r="A8" s="8"/>
      <c r="B8" s="183"/>
      <c r="C8" s="183"/>
      <c r="D8" s="29"/>
      <c r="E8" s="29"/>
      <c r="F8" s="29"/>
    </row>
    <row r="9" spans="1:7">
      <c r="A9" s="8"/>
      <c r="B9" s="184" t="s">
        <v>19</v>
      </c>
      <c r="C9" s="184"/>
      <c r="D9" s="108"/>
      <c r="E9" s="29"/>
      <c r="F9" s="29"/>
    </row>
    <row r="10" spans="1:7">
      <c r="A10" s="8"/>
      <c r="B10" s="183"/>
      <c r="C10" s="183"/>
      <c r="D10" s="29"/>
      <c r="E10" s="29"/>
      <c r="F10" s="29"/>
    </row>
    <row r="11" spans="1:7" ht="40.200000000000003" customHeight="1">
      <c r="A11" s="8"/>
      <c r="B11" s="185" t="s">
        <v>94</v>
      </c>
      <c r="C11" s="185"/>
      <c r="D11" s="109">
        <f>F11/115*15</f>
        <v>456521.73913043475</v>
      </c>
      <c r="E11" s="29"/>
      <c r="F11" s="29">
        <v>3500000</v>
      </c>
    </row>
    <row r="12" spans="1:7">
      <c r="A12" s="8"/>
      <c r="B12" s="183"/>
      <c r="C12" s="183"/>
      <c r="D12" s="29"/>
      <c r="E12" s="29"/>
      <c r="F12" s="29"/>
    </row>
    <row r="13" spans="1:7">
      <c r="A13" s="8"/>
      <c r="B13" s="183"/>
      <c r="C13" s="183"/>
      <c r="D13" s="29"/>
      <c r="E13" s="29"/>
      <c r="F13" s="29"/>
    </row>
    <row r="14" spans="1:7">
      <c r="A14" s="8"/>
      <c r="B14" s="183"/>
      <c r="C14" s="183"/>
      <c r="D14" s="29"/>
      <c r="E14" s="29"/>
      <c r="F14" s="29"/>
    </row>
    <row r="15" spans="1:7">
      <c r="A15" s="8"/>
      <c r="B15" s="183"/>
      <c r="C15" s="183"/>
      <c r="D15" s="29"/>
      <c r="E15" s="29"/>
      <c r="F15" s="29"/>
    </row>
    <row r="16" spans="1:7">
      <c r="A16" s="8"/>
      <c r="B16" s="183"/>
      <c r="C16" s="183"/>
      <c r="D16" s="29"/>
      <c r="E16" s="29"/>
      <c r="F16" s="29"/>
    </row>
    <row r="17" spans="1:6">
      <c r="A17" s="8"/>
      <c r="B17" s="183"/>
      <c r="C17" s="183"/>
      <c r="D17" s="29"/>
      <c r="E17" s="29"/>
      <c r="F17" s="29"/>
    </row>
    <row r="18" spans="1:6">
      <c r="A18" s="8"/>
      <c r="B18" s="184" t="s">
        <v>20</v>
      </c>
      <c r="C18" s="184"/>
      <c r="D18" s="108"/>
      <c r="E18" s="29"/>
      <c r="F18" s="29"/>
    </row>
    <row r="19" spans="1:6">
      <c r="A19" s="8"/>
      <c r="B19" s="186"/>
      <c r="C19" s="186"/>
      <c r="D19" s="110"/>
      <c r="E19" s="29"/>
      <c r="F19" s="29"/>
    </row>
    <row r="20" spans="1:6">
      <c r="A20" s="8"/>
      <c r="B20" s="187" t="s">
        <v>21</v>
      </c>
      <c r="C20" s="187"/>
      <c r="D20" s="111">
        <v>0</v>
      </c>
      <c r="E20" s="29">
        <f>'Schedule A,B C &amp; D'!E9</f>
        <v>67620.372979027103</v>
      </c>
      <c r="F20" s="29"/>
    </row>
    <row r="21" spans="1:6">
      <c r="A21" s="8"/>
      <c r="B21" s="186"/>
      <c r="C21" s="186"/>
      <c r="D21" s="110"/>
      <c r="E21" s="29"/>
      <c r="F21" s="29"/>
    </row>
    <row r="22" spans="1:6">
      <c r="A22" s="8"/>
      <c r="B22" s="187" t="s">
        <v>22</v>
      </c>
      <c r="C22" s="187"/>
      <c r="D22" s="29"/>
      <c r="E22" s="29"/>
      <c r="F22" s="29"/>
    </row>
    <row r="23" spans="1:6" ht="33" customHeight="1">
      <c r="A23" s="8"/>
      <c r="B23" s="185" t="s">
        <v>47</v>
      </c>
      <c r="C23" s="185"/>
      <c r="D23" s="111">
        <f>E23/115*15</f>
        <v>1667.7910173483365</v>
      </c>
      <c r="E23" s="29">
        <f>'Schedule A,B C &amp; D'!F9</f>
        <v>12786.39779967058</v>
      </c>
      <c r="F23" s="29"/>
    </row>
    <row r="24" spans="1:6">
      <c r="A24" s="8"/>
      <c r="B24" s="186"/>
      <c r="C24" s="186"/>
      <c r="D24" s="110"/>
      <c r="E24" s="29"/>
      <c r="F24" s="29"/>
    </row>
    <row r="25" spans="1:6">
      <c r="A25" s="8"/>
      <c r="B25" s="187" t="s">
        <v>23</v>
      </c>
      <c r="C25" s="187"/>
      <c r="D25" s="111">
        <f>E25/115*15</f>
        <v>51472.826086956527</v>
      </c>
      <c r="E25" s="29">
        <f>'Schedule A,B C &amp; D'!F51</f>
        <v>394625</v>
      </c>
      <c r="F25" s="29"/>
    </row>
    <row r="26" spans="1:6">
      <c r="A26" s="8"/>
      <c r="B26" s="186"/>
      <c r="C26" s="186"/>
      <c r="D26" s="110"/>
      <c r="E26" s="29"/>
      <c r="F26" s="29"/>
    </row>
    <row r="27" spans="1:6" ht="27.6" customHeight="1">
      <c r="A27" s="8"/>
      <c r="B27" s="185" t="s">
        <v>158</v>
      </c>
      <c r="C27" s="185"/>
      <c r="D27" s="109">
        <f>E27/115*15</f>
        <v>4247.401640858031</v>
      </c>
      <c r="E27" s="29">
        <f>'Schedule A,B C &amp; D'!F101</f>
        <v>32563.412579911575</v>
      </c>
      <c r="F27" s="29"/>
    </row>
    <row r="28" spans="1:6">
      <c r="A28" s="8"/>
      <c r="B28" s="183"/>
      <c r="C28" s="183"/>
      <c r="D28" s="29"/>
      <c r="E28" s="29"/>
      <c r="F28" s="29"/>
    </row>
    <row r="29" spans="1:6" ht="27.6" customHeight="1">
      <c r="A29" s="8"/>
      <c r="B29" s="185" t="s">
        <v>102</v>
      </c>
      <c r="C29" s="157"/>
      <c r="D29" s="29">
        <f>E29/115*15</f>
        <v>3732.1004347826088</v>
      </c>
      <c r="E29" s="29">
        <v>28612.77</v>
      </c>
      <c r="F29" s="29"/>
    </row>
    <row r="30" spans="1:6">
      <c r="A30" s="8"/>
      <c r="B30" s="183" t="s">
        <v>101</v>
      </c>
      <c r="C30" s="183"/>
      <c r="D30" s="29"/>
      <c r="E30" s="29"/>
      <c r="F30" s="29"/>
    </row>
    <row r="31" spans="1:6">
      <c r="A31" s="8"/>
      <c r="B31" s="183"/>
      <c r="C31" s="183"/>
      <c r="D31" s="29"/>
      <c r="E31" s="29"/>
      <c r="F31" s="29"/>
    </row>
    <row r="32" spans="1:6">
      <c r="A32" s="8"/>
      <c r="B32" s="183" t="s">
        <v>86</v>
      </c>
      <c r="C32" s="183"/>
      <c r="D32" s="29"/>
      <c r="E32" s="29">
        <f>D11-D34</f>
        <v>395401.61995048926</v>
      </c>
      <c r="F32" s="29"/>
    </row>
    <row r="33" spans="1:6">
      <c r="A33" s="8"/>
      <c r="B33" s="183"/>
      <c r="C33" s="183"/>
      <c r="D33" s="53"/>
      <c r="E33" s="53"/>
      <c r="F33" s="29"/>
    </row>
    <row r="34" spans="1:6">
      <c r="A34" s="8"/>
      <c r="B34" s="188" t="s">
        <v>117</v>
      </c>
      <c r="C34" s="188"/>
      <c r="D34" s="56">
        <f>SUM(D20:D33)</f>
        <v>61120.119179945505</v>
      </c>
      <c r="E34" s="56">
        <f>SUM(E20:E33)</f>
        <v>931609.57330909849</v>
      </c>
      <c r="F34" s="29"/>
    </row>
    <row r="35" spans="1:6">
      <c r="A35" s="8"/>
      <c r="B35" s="183"/>
      <c r="C35" s="183"/>
      <c r="D35" s="29"/>
      <c r="E35" s="29"/>
      <c r="F35" s="29"/>
    </row>
    <row r="36" spans="1:6">
      <c r="A36" s="8"/>
      <c r="B36" s="183"/>
      <c r="C36" s="183"/>
      <c r="D36" s="29"/>
      <c r="E36" s="29"/>
      <c r="F36" s="29"/>
    </row>
    <row r="37" spans="1:6">
      <c r="A37" s="8"/>
      <c r="B37" s="183"/>
      <c r="C37" s="183"/>
      <c r="D37" s="29"/>
      <c r="E37" s="29"/>
      <c r="F37" s="29"/>
    </row>
    <row r="38" spans="1:6">
      <c r="A38" s="8"/>
      <c r="B38" s="188" t="s">
        <v>64</v>
      </c>
      <c r="C38" s="188"/>
      <c r="D38" s="29"/>
      <c r="E38" s="29"/>
      <c r="F38" s="29"/>
    </row>
    <row r="39" spans="1:6">
      <c r="A39" s="8"/>
      <c r="B39" s="183"/>
      <c r="C39" s="183"/>
      <c r="D39" s="29"/>
      <c r="E39" s="29"/>
      <c r="F39" s="29"/>
    </row>
    <row r="40" spans="1:6" ht="66">
      <c r="A40" s="8"/>
      <c r="B40" s="189" t="s">
        <v>110</v>
      </c>
      <c r="C40" s="183"/>
      <c r="D40" s="29"/>
      <c r="E40" s="29">
        <v>2568390.4266909016</v>
      </c>
      <c r="F40" s="29"/>
    </row>
    <row r="41" spans="1:6">
      <c r="A41" s="8"/>
      <c r="B41" s="183"/>
      <c r="C41" s="37"/>
      <c r="D41" s="29"/>
      <c r="E41" s="29"/>
      <c r="F41" s="29"/>
    </row>
    <row r="42" spans="1:6">
      <c r="A42" s="8"/>
      <c r="B42" s="183" t="s">
        <v>66</v>
      </c>
      <c r="C42" s="112">
        <v>3203046.89</v>
      </c>
      <c r="D42" s="29"/>
      <c r="E42" s="29"/>
      <c r="F42" s="29"/>
    </row>
    <row r="43" spans="1:6">
      <c r="A43" s="8"/>
      <c r="B43" s="183" t="s">
        <v>68</v>
      </c>
      <c r="C43" s="113">
        <f>B64</f>
        <v>280902.82451753423</v>
      </c>
      <c r="D43" s="29"/>
      <c r="E43" s="29"/>
      <c r="F43" s="29"/>
    </row>
    <row r="44" spans="1:6">
      <c r="A44" s="8"/>
      <c r="B44" s="183" t="s">
        <v>83</v>
      </c>
      <c r="C44" s="112">
        <f>SUM(C42:C43)</f>
        <v>3483949.7145175342</v>
      </c>
      <c r="D44" s="29"/>
      <c r="E44" s="29"/>
      <c r="F44" s="29"/>
    </row>
    <row r="45" spans="1:6">
      <c r="A45" s="8"/>
      <c r="B45" s="183"/>
      <c r="C45" s="190"/>
      <c r="D45" s="29"/>
      <c r="E45" s="29"/>
      <c r="F45" s="29"/>
    </row>
    <row r="46" spans="1:6">
      <c r="A46" s="8"/>
      <c r="B46" s="191" t="s">
        <v>69</v>
      </c>
      <c r="C46" s="192"/>
      <c r="D46" s="29"/>
      <c r="E46" s="29"/>
      <c r="F46" s="29"/>
    </row>
    <row r="47" spans="1:6">
      <c r="A47" s="8"/>
      <c r="B47" s="183"/>
      <c r="C47" s="183"/>
      <c r="D47" s="29"/>
      <c r="E47" s="29"/>
      <c r="F47" s="29"/>
    </row>
    <row r="48" spans="1:6">
      <c r="A48" s="8"/>
      <c r="B48" s="6" t="s">
        <v>82</v>
      </c>
      <c r="C48" s="6" t="s">
        <v>72</v>
      </c>
      <c r="D48" s="29"/>
      <c r="E48" s="29"/>
      <c r="F48" s="29"/>
    </row>
    <row r="49" spans="1:6">
      <c r="A49" s="8"/>
      <c r="B49" s="7" t="s">
        <v>75</v>
      </c>
      <c r="C49" s="14">
        <v>26</v>
      </c>
      <c r="D49" s="29"/>
      <c r="E49" s="29"/>
      <c r="F49" s="29"/>
    </row>
    <row r="50" spans="1:6">
      <c r="A50" s="8"/>
      <c r="B50" s="8" t="s">
        <v>76</v>
      </c>
      <c r="C50" s="15">
        <v>31</v>
      </c>
      <c r="D50" s="29"/>
      <c r="E50" s="29"/>
      <c r="F50" s="29"/>
    </row>
    <row r="51" spans="1:6">
      <c r="A51" s="8"/>
      <c r="B51" s="8" t="s">
        <v>77</v>
      </c>
      <c r="C51" s="15">
        <v>30</v>
      </c>
      <c r="D51" s="29"/>
      <c r="E51" s="29"/>
      <c r="F51" s="29"/>
    </row>
    <row r="52" spans="1:6">
      <c r="A52" s="8"/>
      <c r="B52" s="8" t="s">
        <v>78</v>
      </c>
      <c r="C52" s="15">
        <v>31</v>
      </c>
      <c r="D52" s="29"/>
      <c r="E52" s="29"/>
      <c r="F52" s="29"/>
    </row>
    <row r="53" spans="1:6">
      <c r="A53" s="8"/>
      <c r="B53" s="8" t="s">
        <v>79</v>
      </c>
      <c r="C53" s="15">
        <v>31</v>
      </c>
      <c r="D53" s="29"/>
      <c r="E53" s="29"/>
      <c r="F53" s="29"/>
    </row>
    <row r="54" spans="1:6">
      <c r="A54" s="8"/>
      <c r="B54" s="8" t="s">
        <v>80</v>
      </c>
      <c r="C54" s="15">
        <v>28</v>
      </c>
      <c r="D54" s="29"/>
      <c r="E54" s="29"/>
      <c r="F54" s="29"/>
    </row>
    <row r="55" spans="1:6">
      <c r="A55" s="8"/>
      <c r="B55" s="8" t="s">
        <v>81</v>
      </c>
      <c r="C55" s="15">
        <v>17</v>
      </c>
      <c r="D55" s="29"/>
      <c r="E55" s="29"/>
      <c r="F55" s="29"/>
    </row>
    <row r="56" spans="1:6">
      <c r="A56" s="8"/>
      <c r="B56" s="8"/>
      <c r="C56" s="16"/>
      <c r="D56" s="29"/>
      <c r="E56" s="29"/>
      <c r="F56" s="29"/>
    </row>
    <row r="57" spans="1:6">
      <c r="A57" s="8"/>
      <c r="B57" s="9" t="s">
        <v>71</v>
      </c>
      <c r="C57" s="17">
        <v>194</v>
      </c>
      <c r="D57" s="29"/>
      <c r="E57" s="29"/>
      <c r="F57" s="29"/>
    </row>
    <row r="58" spans="1:6">
      <c r="A58" s="8"/>
      <c r="B58" s="183"/>
      <c r="C58" s="183"/>
      <c r="D58" s="29"/>
      <c r="E58" s="29"/>
      <c r="F58" s="29"/>
    </row>
    <row r="59" spans="1:6">
      <c r="A59" s="8"/>
      <c r="B59" s="183" t="s">
        <v>73</v>
      </c>
      <c r="C59" s="114">
        <v>0.16500000000000001</v>
      </c>
      <c r="D59" s="29"/>
      <c r="E59" s="29"/>
      <c r="F59" s="29"/>
    </row>
    <row r="60" spans="1:6" ht="14.4" customHeight="1">
      <c r="A60" s="8"/>
      <c r="B60" s="183"/>
      <c r="C60" s="84"/>
      <c r="D60" s="29"/>
      <c r="E60" s="29"/>
      <c r="F60" s="29"/>
    </row>
    <row r="61" spans="1:6">
      <c r="A61" s="8"/>
      <c r="B61" s="191" t="s">
        <v>85</v>
      </c>
      <c r="C61" s="183"/>
      <c r="D61" s="29"/>
      <c r="E61" s="29"/>
      <c r="F61" s="29"/>
    </row>
    <row r="62" spans="1:6">
      <c r="A62" s="8"/>
      <c r="B62" s="158" t="s">
        <v>111</v>
      </c>
      <c r="C62" s="159"/>
      <c r="D62" s="29"/>
      <c r="E62" s="29"/>
      <c r="F62" s="29"/>
    </row>
    <row r="63" spans="1:6">
      <c r="A63" s="8"/>
      <c r="B63" s="159"/>
      <c r="C63" s="162"/>
      <c r="D63" s="29"/>
      <c r="E63" s="29"/>
      <c r="F63" s="29"/>
    </row>
    <row r="64" spans="1:6">
      <c r="A64" s="8"/>
      <c r="B64" s="160">
        <f>C42*C57/365*C59</f>
        <v>280902.82451753423</v>
      </c>
      <c r="C64" s="161"/>
      <c r="D64" s="29"/>
      <c r="E64" s="29"/>
      <c r="F64" s="29"/>
    </row>
    <row r="65" spans="1:6">
      <c r="A65" s="8"/>
      <c r="B65" s="183"/>
      <c r="C65" s="183"/>
      <c r="D65" s="29"/>
      <c r="E65" s="29"/>
      <c r="F65" s="29"/>
    </row>
    <row r="66" spans="1:6">
      <c r="A66" s="8"/>
      <c r="B66" s="188" t="s">
        <v>112</v>
      </c>
      <c r="C66" s="183"/>
      <c r="D66" s="29"/>
      <c r="E66" s="29"/>
      <c r="F66" s="29"/>
    </row>
    <row r="67" spans="1:6">
      <c r="A67" s="8"/>
      <c r="B67" s="183"/>
      <c r="C67" s="183"/>
      <c r="D67" s="29"/>
      <c r="E67" s="29"/>
      <c r="F67" s="29"/>
    </row>
    <row r="68" spans="1:6" ht="26.4" customHeight="1">
      <c r="A68" s="8"/>
      <c r="B68" s="193" t="s">
        <v>113</v>
      </c>
      <c r="C68" s="164"/>
      <c r="D68" s="29"/>
      <c r="E68" s="29"/>
      <c r="F68" s="29"/>
    </row>
    <row r="69" spans="1:6">
      <c r="A69" s="8"/>
      <c r="B69" s="183"/>
      <c r="C69" s="112"/>
      <c r="D69" s="29"/>
      <c r="E69" s="29"/>
      <c r="F69" s="29"/>
    </row>
    <row r="70" spans="1:6">
      <c r="A70" s="8"/>
      <c r="B70" s="85" t="s">
        <v>109</v>
      </c>
      <c r="C70" s="115"/>
      <c r="D70" s="29"/>
      <c r="E70" s="29"/>
      <c r="F70" s="29"/>
    </row>
    <row r="71" spans="1:6">
      <c r="A71" s="8"/>
      <c r="B71" s="82" t="s">
        <v>66</v>
      </c>
      <c r="C71" s="116">
        <f>C42</f>
        <v>3203046.89</v>
      </c>
      <c r="D71" s="29"/>
      <c r="E71" s="29"/>
      <c r="F71" s="29"/>
    </row>
    <row r="72" spans="1:6">
      <c r="A72" s="8"/>
      <c r="B72" s="82" t="s">
        <v>114</v>
      </c>
      <c r="C72" s="117">
        <f>C43</f>
        <v>280902.82451753423</v>
      </c>
      <c r="D72" s="29"/>
      <c r="E72" s="29"/>
      <c r="F72" s="29"/>
    </row>
    <row r="73" spans="1:6">
      <c r="A73" s="8"/>
      <c r="B73" s="82" t="s">
        <v>83</v>
      </c>
      <c r="C73" s="116">
        <f>SUM(C71:C72)</f>
        <v>3483949.7145175342</v>
      </c>
      <c r="D73" s="29"/>
      <c r="E73" s="29"/>
      <c r="F73" s="29"/>
    </row>
    <row r="74" spans="1:6">
      <c r="A74" s="8"/>
      <c r="B74" s="82"/>
      <c r="C74" s="116"/>
      <c r="D74" s="29"/>
      <c r="E74" s="29"/>
      <c r="F74" s="29"/>
    </row>
    <row r="75" spans="1:6">
      <c r="A75" s="8"/>
      <c r="B75" s="82" t="s">
        <v>115</v>
      </c>
      <c r="C75" s="116">
        <f>E40</f>
        <v>2568390.4266909016</v>
      </c>
      <c r="D75" s="29"/>
      <c r="E75" s="29"/>
      <c r="F75" s="29"/>
    </row>
    <row r="76" spans="1:6">
      <c r="A76" s="8"/>
      <c r="B76" s="82"/>
      <c r="C76" s="117"/>
      <c r="D76" s="29"/>
      <c r="E76" s="29"/>
      <c r="F76" s="29"/>
    </row>
    <row r="77" spans="1:6" ht="26.4">
      <c r="A77" s="8"/>
      <c r="B77" s="89" t="s">
        <v>116</v>
      </c>
      <c r="C77" s="118">
        <f>C73-C75</f>
        <v>915559.28782663262</v>
      </c>
      <c r="D77" s="29"/>
      <c r="E77" s="29"/>
      <c r="F77" s="29"/>
    </row>
    <row r="78" spans="1:6">
      <c r="A78" s="8"/>
      <c r="B78" s="183"/>
      <c r="C78" s="183"/>
      <c r="D78" s="29"/>
      <c r="E78" s="53"/>
      <c r="F78" s="53"/>
    </row>
    <row r="79" spans="1:6">
      <c r="A79" s="8"/>
      <c r="B79" s="188" t="s">
        <v>35</v>
      </c>
      <c r="C79" s="188"/>
      <c r="D79" s="56"/>
      <c r="E79" s="31">
        <f>SUM(E34:E78)</f>
        <v>3500000</v>
      </c>
      <c r="F79" s="31">
        <f>SUM(F11:F78)</f>
        <v>3500000</v>
      </c>
    </row>
    <row r="80" spans="1:6">
      <c r="A80" s="8"/>
      <c r="B80" s="183"/>
      <c r="C80" s="183"/>
      <c r="D80" s="29"/>
      <c r="E80" s="29"/>
      <c r="F80" s="29"/>
    </row>
    <row r="81" spans="1:6">
      <c r="A81" s="45"/>
      <c r="B81" s="46"/>
      <c r="C81" s="46"/>
      <c r="D81" s="53"/>
      <c r="E81" s="53"/>
      <c r="F81" s="53"/>
    </row>
  </sheetData>
  <mergeCells count="12">
    <mergeCell ref="B4:F4"/>
    <mergeCell ref="B68:C68"/>
    <mergeCell ref="B22:C22"/>
    <mergeCell ref="B27:C27"/>
    <mergeCell ref="B62:C62"/>
    <mergeCell ref="B63:C63"/>
    <mergeCell ref="B64:C64"/>
    <mergeCell ref="B29:C29"/>
    <mergeCell ref="B11:C11"/>
    <mergeCell ref="B20:C20"/>
    <mergeCell ref="B23:C23"/>
    <mergeCell ref="B25:C25"/>
  </mergeCells>
  <pageMargins left="0.70866141732283472" right="0.70866141732283472" top="0.74803149606299213" bottom="0.74803149606299213" header="0.31496062992125984" footer="0.31496062992125984"/>
  <pageSetup scale="91" orientation="portrait" r:id="rId1"/>
  <headerFooter>
    <oddFooter>&amp;L202324-1083.Paper2Summative&amp;RPage &amp;P of &amp;N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D90C9-7FFB-4EAF-88C1-C6C3FDCDF5EE}">
  <dimension ref="A1:F72"/>
  <sheetViews>
    <sheetView view="pageBreakPreview" topLeftCell="A41" zoomScale="60" zoomScaleNormal="100" workbookViewId="0">
      <selection activeCell="E49" sqref="E49"/>
    </sheetView>
  </sheetViews>
  <sheetFormatPr defaultRowHeight="13.2"/>
  <cols>
    <col min="1" max="1" width="2.88671875" style="3" customWidth="1"/>
    <col min="2" max="2" width="31" style="3" customWidth="1"/>
    <col min="3" max="3" width="17" style="3" bestFit="1" customWidth="1"/>
    <col min="4" max="4" width="13.21875" style="2" customWidth="1"/>
    <col min="5" max="6" width="17.88671875" style="2" customWidth="1"/>
    <col min="7" max="16384" width="8.88671875" style="3"/>
  </cols>
  <sheetData>
    <row r="1" spans="1:6">
      <c r="A1" s="1"/>
      <c r="B1" s="1" t="s">
        <v>95</v>
      </c>
      <c r="C1" s="1"/>
    </row>
    <row r="2" spans="1:6">
      <c r="A2" s="1"/>
      <c r="B2" s="1" t="s">
        <v>188</v>
      </c>
    </row>
    <row r="3" spans="1:6">
      <c r="A3" s="1"/>
      <c r="B3" s="1"/>
    </row>
    <row r="4" spans="1:6" ht="50.4" customHeight="1">
      <c r="A4" s="1"/>
      <c r="B4" s="165" t="s">
        <v>184</v>
      </c>
      <c r="C4" s="165"/>
      <c r="D4" s="165"/>
      <c r="E4" s="165"/>
      <c r="F4" s="165"/>
    </row>
    <row r="5" spans="1:6">
      <c r="A5" s="1"/>
    </row>
    <row r="6" spans="1:6">
      <c r="B6" s="33"/>
      <c r="C6" s="35"/>
      <c r="D6" s="75"/>
      <c r="E6" s="75"/>
      <c r="F6" s="76"/>
    </row>
    <row r="7" spans="1:6">
      <c r="B7" s="9" t="s">
        <v>9</v>
      </c>
      <c r="C7" s="77"/>
      <c r="D7" s="78" t="s">
        <v>18</v>
      </c>
      <c r="E7" s="78" t="s">
        <v>10</v>
      </c>
      <c r="F7" s="74" t="s">
        <v>11</v>
      </c>
    </row>
    <row r="8" spans="1:6">
      <c r="B8" s="8"/>
      <c r="C8" s="10"/>
      <c r="D8" s="29"/>
      <c r="E8" s="29"/>
      <c r="F8" s="30"/>
    </row>
    <row r="9" spans="1:6">
      <c r="B9" s="79" t="s">
        <v>19</v>
      </c>
      <c r="C9" s="80"/>
      <c r="D9" s="29"/>
      <c r="E9" s="29"/>
      <c r="F9" s="30"/>
    </row>
    <row r="10" spans="1:6">
      <c r="B10" s="8"/>
      <c r="C10" s="10"/>
      <c r="D10" s="29"/>
      <c r="E10" s="29"/>
      <c r="F10" s="30"/>
    </row>
    <row r="11" spans="1:6" ht="52.8">
      <c r="B11" s="81" t="s">
        <v>51</v>
      </c>
      <c r="C11" s="133"/>
      <c r="D11" s="29">
        <f>F11/115*15</f>
        <v>150000</v>
      </c>
      <c r="E11" s="29"/>
      <c r="F11" s="30">
        <v>1150000</v>
      </c>
    </row>
    <row r="12" spans="1:6">
      <c r="B12" s="8"/>
      <c r="C12" s="10"/>
      <c r="D12" s="29"/>
      <c r="E12" s="29"/>
      <c r="F12" s="30"/>
    </row>
    <row r="13" spans="1:6">
      <c r="B13" s="8"/>
      <c r="C13" s="10"/>
      <c r="D13" s="29"/>
      <c r="E13" s="29"/>
      <c r="F13" s="30"/>
    </row>
    <row r="14" spans="1:6">
      <c r="B14" s="79" t="s">
        <v>20</v>
      </c>
      <c r="C14" s="80"/>
      <c r="D14" s="29"/>
      <c r="E14" s="29"/>
      <c r="F14" s="30"/>
    </row>
    <row r="15" spans="1:6">
      <c r="B15" s="8"/>
      <c r="C15" s="10"/>
      <c r="D15" s="29"/>
      <c r="E15" s="29"/>
      <c r="F15" s="30"/>
    </row>
    <row r="16" spans="1:6">
      <c r="B16" s="8" t="s">
        <v>21</v>
      </c>
      <c r="C16" s="10"/>
      <c r="D16" s="29">
        <v>0</v>
      </c>
      <c r="E16" s="29">
        <f>'Schedule A,B C &amp; D'!E10</f>
        <v>22218.122550251763</v>
      </c>
      <c r="F16" s="30"/>
    </row>
    <row r="17" spans="2:6">
      <c r="B17" s="8"/>
      <c r="C17" s="10"/>
      <c r="D17" s="29"/>
      <c r="E17" s="29"/>
      <c r="F17" s="30"/>
    </row>
    <row r="18" spans="2:6">
      <c r="B18" s="8" t="s">
        <v>22</v>
      </c>
      <c r="C18" s="10"/>
      <c r="D18" s="29"/>
      <c r="E18" s="29"/>
      <c r="F18" s="30"/>
    </row>
    <row r="19" spans="2:6" ht="25.2" customHeight="1">
      <c r="B19" s="156" t="s">
        <v>47</v>
      </c>
      <c r="C19" s="157"/>
      <c r="D19" s="29">
        <f>E19/115*15</f>
        <v>547.98847712873919</v>
      </c>
      <c r="E19" s="29">
        <f>'Schedule A,B C &amp; D'!F10</f>
        <v>4201.2449913203336</v>
      </c>
      <c r="F19" s="30"/>
    </row>
    <row r="20" spans="2:6">
      <c r="B20" s="8"/>
      <c r="C20" s="10"/>
      <c r="D20" s="29"/>
      <c r="E20" s="29"/>
      <c r="F20" s="30"/>
    </row>
    <row r="21" spans="2:6">
      <c r="B21" s="8" t="s">
        <v>23</v>
      </c>
      <c r="C21" s="10"/>
      <c r="D21" s="29">
        <f>E21/115*15</f>
        <v>16912.5</v>
      </c>
      <c r="E21" s="29">
        <f>'Schedule A,B C &amp; D'!F62</f>
        <v>129662.5</v>
      </c>
      <c r="F21" s="30"/>
    </row>
    <row r="22" spans="2:6">
      <c r="B22" s="8"/>
      <c r="C22" s="10"/>
      <c r="D22" s="29"/>
      <c r="E22" s="29"/>
      <c r="F22" s="30"/>
    </row>
    <row r="23" spans="2:6">
      <c r="B23" s="8" t="s">
        <v>86</v>
      </c>
      <c r="C23" s="10"/>
      <c r="D23" s="27"/>
      <c r="E23" s="29">
        <f>D11-D25</f>
        <v>132539.51152287127</v>
      </c>
      <c r="F23" s="30"/>
    </row>
    <row r="24" spans="2:6">
      <c r="B24" s="8"/>
      <c r="C24" s="10"/>
      <c r="D24" s="53"/>
      <c r="E24" s="53"/>
      <c r="F24" s="30"/>
    </row>
    <row r="25" spans="2:6">
      <c r="B25" s="81"/>
      <c r="C25" s="133"/>
      <c r="D25" s="29">
        <f>SUM(D16:D24)</f>
        <v>17460.48847712874</v>
      </c>
      <c r="E25" s="29">
        <f>SUM(E16:E24)</f>
        <v>288621.3790644434</v>
      </c>
      <c r="F25" s="30"/>
    </row>
    <row r="26" spans="2:6">
      <c r="B26" s="8"/>
      <c r="C26" s="10"/>
      <c r="D26" s="29"/>
      <c r="E26" s="29"/>
      <c r="F26" s="30"/>
    </row>
    <row r="27" spans="2:6">
      <c r="B27" s="48" t="s">
        <v>64</v>
      </c>
      <c r="C27" s="42"/>
      <c r="D27" s="29"/>
      <c r="E27" s="29"/>
      <c r="F27" s="30"/>
    </row>
    <row r="28" spans="2:6">
      <c r="B28" s="8"/>
      <c r="C28" s="10"/>
      <c r="D28" s="29"/>
      <c r="E28" s="29"/>
      <c r="F28" s="30"/>
    </row>
    <row r="29" spans="2:6" ht="66">
      <c r="B29" s="81" t="s">
        <v>119</v>
      </c>
      <c r="C29" s="133"/>
      <c r="D29" s="29"/>
      <c r="E29" s="29">
        <v>861378.6209355566</v>
      </c>
      <c r="F29" s="30"/>
    </row>
    <row r="30" spans="2:6">
      <c r="B30" s="8"/>
      <c r="C30" s="10"/>
      <c r="D30" s="29"/>
      <c r="E30" s="29"/>
      <c r="F30" s="30"/>
    </row>
    <row r="31" spans="2:6">
      <c r="B31" s="8" t="s">
        <v>66</v>
      </c>
      <c r="C31" s="37">
        <v>1261052.55</v>
      </c>
      <c r="D31" s="29"/>
      <c r="E31" s="29"/>
      <c r="F31" s="30"/>
    </row>
    <row r="32" spans="2:6">
      <c r="B32" s="8" t="s">
        <v>68</v>
      </c>
      <c r="C32" s="38">
        <f>B53</f>
        <v>125673.38768835619</v>
      </c>
      <c r="D32" s="29"/>
      <c r="E32" s="29"/>
      <c r="F32" s="30"/>
    </row>
    <row r="33" spans="2:6">
      <c r="B33" s="8" t="s">
        <v>83</v>
      </c>
      <c r="C33" s="37">
        <f>SUM(C31:C32)</f>
        <v>1386725.9376883563</v>
      </c>
      <c r="D33" s="29"/>
      <c r="E33" s="29"/>
      <c r="F33" s="30"/>
    </row>
    <row r="34" spans="2:6">
      <c r="B34" s="8"/>
      <c r="C34" s="49"/>
      <c r="D34" s="29"/>
      <c r="E34" s="29"/>
      <c r="F34" s="30"/>
    </row>
    <row r="35" spans="2:6">
      <c r="B35" s="82" t="s">
        <v>69</v>
      </c>
      <c r="C35" s="49"/>
      <c r="D35" s="29"/>
      <c r="E35" s="29"/>
      <c r="F35" s="30"/>
    </row>
    <row r="36" spans="2:6">
      <c r="B36" s="8"/>
      <c r="C36" s="10"/>
      <c r="D36" s="29"/>
      <c r="E36" s="29"/>
      <c r="F36" s="30"/>
    </row>
    <row r="37" spans="2:6">
      <c r="B37" s="6" t="s">
        <v>82</v>
      </c>
      <c r="C37" s="6" t="s">
        <v>72</v>
      </c>
      <c r="D37" s="29"/>
      <c r="E37" s="29"/>
      <c r="F37" s="30"/>
    </row>
    <row r="38" spans="2:6">
      <c r="B38" s="7" t="s">
        <v>75</v>
      </c>
      <c r="C38" s="14">
        <v>26</v>
      </c>
      <c r="D38" s="29"/>
      <c r="E38" s="29"/>
      <c r="F38" s="30"/>
    </row>
    <row r="39" spans="2:6">
      <c r="B39" s="8" t="s">
        <v>76</v>
      </c>
      <c r="C39" s="15">
        <v>31</v>
      </c>
      <c r="D39" s="29"/>
      <c r="E39" s="29"/>
      <c r="F39" s="30"/>
    </row>
    <row r="40" spans="2:6">
      <c r="B40" s="8" t="s">
        <v>77</v>
      </c>
      <c r="C40" s="15">
        <v>30</v>
      </c>
      <c r="D40" s="29"/>
      <c r="E40" s="29"/>
      <c r="F40" s="30"/>
    </row>
    <row r="41" spans="2:6">
      <c r="B41" s="8" t="s">
        <v>78</v>
      </c>
      <c r="C41" s="15">
        <v>31</v>
      </c>
      <c r="D41" s="29"/>
      <c r="E41" s="29"/>
      <c r="F41" s="30"/>
    </row>
    <row r="42" spans="2:6">
      <c r="B42" s="8" t="s">
        <v>79</v>
      </c>
      <c r="C42" s="15">
        <v>31</v>
      </c>
      <c r="D42" s="29"/>
      <c r="E42" s="29"/>
      <c r="F42" s="30"/>
    </row>
    <row r="43" spans="2:6">
      <c r="B43" s="8" t="s">
        <v>80</v>
      </c>
      <c r="C43" s="15">
        <v>28</v>
      </c>
      <c r="D43" s="29"/>
      <c r="E43" s="29"/>
      <c r="F43" s="30"/>
    </row>
    <row r="44" spans="2:6">
      <c r="B44" s="8" t="s">
        <v>81</v>
      </c>
      <c r="C44" s="15">
        <v>17</v>
      </c>
      <c r="D44" s="29"/>
      <c r="E44" s="29"/>
      <c r="F44" s="30"/>
    </row>
    <row r="45" spans="2:6">
      <c r="B45" s="8"/>
      <c r="C45" s="16"/>
      <c r="D45" s="29"/>
      <c r="E45" s="29"/>
      <c r="F45" s="30"/>
    </row>
    <row r="46" spans="2:6">
      <c r="B46" s="9" t="s">
        <v>71</v>
      </c>
      <c r="C46" s="17">
        <v>194</v>
      </c>
      <c r="D46" s="29"/>
      <c r="E46" s="29"/>
      <c r="F46" s="30"/>
    </row>
    <row r="47" spans="2:6">
      <c r="B47" s="8"/>
      <c r="C47" s="10"/>
      <c r="D47" s="29"/>
      <c r="E47" s="29"/>
      <c r="F47" s="30"/>
    </row>
    <row r="48" spans="2:6">
      <c r="B48" s="8" t="s">
        <v>73</v>
      </c>
      <c r="C48" s="83">
        <v>0.1875</v>
      </c>
      <c r="D48" s="29"/>
      <c r="E48" s="29"/>
      <c r="F48" s="30"/>
    </row>
    <row r="49" spans="2:6">
      <c r="B49" s="8"/>
      <c r="C49" s="84"/>
      <c r="D49" s="29"/>
      <c r="E49" s="29"/>
      <c r="F49" s="30"/>
    </row>
    <row r="50" spans="2:6">
      <c r="B50" s="82" t="s">
        <v>85</v>
      </c>
      <c r="C50" s="10"/>
      <c r="D50" s="29"/>
      <c r="E50" s="29"/>
      <c r="F50" s="30"/>
    </row>
    <row r="51" spans="2:6">
      <c r="B51" s="158" t="s">
        <v>120</v>
      </c>
      <c r="C51" s="159"/>
      <c r="D51" s="29"/>
      <c r="E51" s="29"/>
      <c r="F51" s="30"/>
    </row>
    <row r="52" spans="2:6">
      <c r="B52" s="159"/>
      <c r="C52" s="162"/>
      <c r="D52" s="29"/>
      <c r="E52" s="29"/>
      <c r="F52" s="30"/>
    </row>
    <row r="53" spans="2:6">
      <c r="B53" s="160">
        <f>C31*C46/365*C48</f>
        <v>125673.38768835619</v>
      </c>
      <c r="C53" s="161"/>
      <c r="D53" s="29"/>
      <c r="E53" s="29"/>
      <c r="F53" s="30"/>
    </row>
    <row r="54" spans="2:6">
      <c r="B54" s="8"/>
      <c r="C54" s="10"/>
      <c r="D54" s="29"/>
      <c r="E54" s="29"/>
      <c r="F54" s="30"/>
    </row>
    <row r="55" spans="2:6">
      <c r="B55" s="48" t="s">
        <v>112</v>
      </c>
      <c r="C55" s="42"/>
      <c r="D55" s="29"/>
      <c r="E55" s="29"/>
      <c r="F55" s="30"/>
    </row>
    <row r="56" spans="2:6">
      <c r="B56" s="48"/>
      <c r="C56" s="42"/>
      <c r="D56" s="29"/>
      <c r="E56" s="29"/>
      <c r="F56" s="30"/>
    </row>
    <row r="57" spans="2:6" ht="26.4" customHeight="1">
      <c r="B57" s="166" t="s">
        <v>113</v>
      </c>
      <c r="C57" s="164"/>
      <c r="D57" s="29"/>
      <c r="E57" s="29"/>
      <c r="F57" s="30"/>
    </row>
    <row r="58" spans="2:6">
      <c r="B58" s="8"/>
      <c r="C58" s="37"/>
      <c r="D58" s="29"/>
      <c r="E58" s="29"/>
      <c r="F58" s="30"/>
    </row>
    <row r="59" spans="2:6">
      <c r="B59" s="85" t="s">
        <v>118</v>
      </c>
      <c r="C59" s="86"/>
      <c r="D59" s="29"/>
      <c r="E59" s="29"/>
      <c r="F59" s="30"/>
    </row>
    <row r="60" spans="2:6">
      <c r="B60" s="82" t="s">
        <v>66</v>
      </c>
      <c r="C60" s="87">
        <f>C31</f>
        <v>1261052.55</v>
      </c>
      <c r="D60" s="29"/>
      <c r="E60" s="29"/>
      <c r="F60" s="30"/>
    </row>
    <row r="61" spans="2:6">
      <c r="B61" s="82" t="s">
        <v>114</v>
      </c>
      <c r="C61" s="88">
        <f>C32</f>
        <v>125673.38768835619</v>
      </c>
      <c r="D61" s="29"/>
      <c r="E61" s="29"/>
      <c r="F61" s="30"/>
    </row>
    <row r="62" spans="2:6">
      <c r="B62" s="82" t="s">
        <v>83</v>
      </c>
      <c r="C62" s="87">
        <f>SUM(C60:C61)</f>
        <v>1386725.9376883563</v>
      </c>
      <c r="D62" s="29"/>
      <c r="E62" s="29"/>
      <c r="F62" s="30"/>
    </row>
    <row r="63" spans="2:6">
      <c r="B63" s="82"/>
      <c r="C63" s="87"/>
      <c r="D63" s="29"/>
      <c r="E63" s="29"/>
      <c r="F63" s="30"/>
    </row>
    <row r="64" spans="2:6">
      <c r="B64" s="82" t="s">
        <v>115</v>
      </c>
      <c r="C64" s="87">
        <f>E29</f>
        <v>861378.6209355566</v>
      </c>
      <c r="D64" s="29"/>
      <c r="E64" s="29"/>
      <c r="F64" s="30"/>
    </row>
    <row r="65" spans="2:6">
      <c r="B65" s="82"/>
      <c r="C65" s="88"/>
      <c r="D65" s="29"/>
      <c r="E65" s="29"/>
      <c r="F65" s="30"/>
    </row>
    <row r="66" spans="2:6" ht="26.4">
      <c r="B66" s="89" t="s">
        <v>116</v>
      </c>
      <c r="C66" s="90">
        <f>C62-C64</f>
        <v>525347.31675279967</v>
      </c>
      <c r="D66" s="29"/>
      <c r="E66" s="29"/>
      <c r="F66" s="30"/>
    </row>
    <row r="67" spans="2:6">
      <c r="B67" s="8"/>
      <c r="C67" s="10"/>
      <c r="D67" s="29"/>
      <c r="E67" s="29"/>
      <c r="F67" s="30"/>
    </row>
    <row r="68" spans="2:6">
      <c r="B68" s="8"/>
      <c r="C68" s="10"/>
      <c r="D68" s="29"/>
      <c r="E68" s="29"/>
      <c r="F68" s="30"/>
    </row>
    <row r="69" spans="2:6">
      <c r="B69" s="48" t="s">
        <v>35</v>
      </c>
      <c r="C69" s="42"/>
      <c r="D69" s="56"/>
      <c r="E69" s="31">
        <f>SUM(E25:E68)</f>
        <v>1150000</v>
      </c>
      <c r="F69" s="32">
        <f>SUM(F11:F68)</f>
        <v>1150000</v>
      </c>
    </row>
    <row r="70" spans="2:6">
      <c r="B70" s="45"/>
      <c r="C70" s="46"/>
      <c r="D70" s="53"/>
      <c r="E70" s="53"/>
      <c r="F70" s="40"/>
    </row>
    <row r="72" spans="2:6">
      <c r="E72" s="12">
        <f>F69-E69</f>
        <v>0</v>
      </c>
    </row>
  </sheetData>
  <mergeCells count="6">
    <mergeCell ref="B4:F4"/>
    <mergeCell ref="B57:C57"/>
    <mergeCell ref="B51:C51"/>
    <mergeCell ref="B52:C52"/>
    <mergeCell ref="B53:C53"/>
    <mergeCell ref="B19:C19"/>
  </mergeCells>
  <pageMargins left="0.70866141732283472" right="0.70866141732283472" top="0.74803149606299213" bottom="0.74803149606299213" header="0.31496062992125984" footer="0.31496062992125984"/>
  <pageSetup scale="90" orientation="portrait" r:id="rId1"/>
  <headerFooter>
    <oddFooter>&amp;L202324-1083.Paper2Summative&amp;RPage &amp;P of &amp;N</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04DC-6AD0-4AF9-8E80-DF41F4D91005}">
  <dimension ref="A1:H81"/>
  <sheetViews>
    <sheetView tabSelected="1" topLeftCell="A59" zoomScaleNormal="100" workbookViewId="0">
      <selection activeCell="B71" sqref="B71"/>
    </sheetView>
  </sheetViews>
  <sheetFormatPr defaultRowHeight="13.2"/>
  <cols>
    <col min="1" max="1" width="2.44140625" style="3" customWidth="1"/>
    <col min="2" max="2" width="52" style="3" customWidth="1"/>
    <col min="3" max="3" width="14" style="2" bestFit="1" customWidth="1"/>
    <col min="4" max="4" width="11.77734375" style="2" bestFit="1" customWidth="1"/>
    <col min="5" max="6" width="12.77734375" style="2" bestFit="1" customWidth="1"/>
    <col min="7" max="7" width="8.88671875" style="3"/>
    <col min="8" max="8" width="11.21875" style="3" bestFit="1" customWidth="1"/>
    <col min="9" max="16384" width="8.88671875" style="3"/>
  </cols>
  <sheetData>
    <row r="1" spans="1:8">
      <c r="B1" s="1" t="s">
        <v>95</v>
      </c>
      <c r="C1" s="4"/>
    </row>
    <row r="3" spans="1:8">
      <c r="B3" s="1" t="s">
        <v>52</v>
      </c>
    </row>
    <row r="5" spans="1:8">
      <c r="A5" s="136"/>
      <c r="B5" s="23" t="s">
        <v>9</v>
      </c>
      <c r="C5" s="32"/>
      <c r="D5" s="31" t="s">
        <v>18</v>
      </c>
      <c r="E5" s="31" t="s">
        <v>10</v>
      </c>
      <c r="F5" s="31" t="s">
        <v>11</v>
      </c>
    </row>
    <row r="6" spans="1:8">
      <c r="A6" s="18"/>
      <c r="B6" s="10"/>
      <c r="C6" s="37"/>
      <c r="D6" s="29"/>
      <c r="E6" s="29"/>
      <c r="F6" s="29"/>
    </row>
    <row r="7" spans="1:8">
      <c r="A7" s="18"/>
      <c r="B7" s="80" t="s">
        <v>19</v>
      </c>
      <c r="C7" s="119"/>
      <c r="D7" s="29"/>
      <c r="E7" s="29"/>
      <c r="F7" s="29"/>
    </row>
    <row r="8" spans="1:8">
      <c r="A8" s="18"/>
      <c r="B8" s="10"/>
      <c r="C8" s="37"/>
      <c r="D8" s="29"/>
      <c r="E8" s="29"/>
      <c r="F8" s="29"/>
    </row>
    <row r="9" spans="1:8" ht="26.4">
      <c r="A9" s="18"/>
      <c r="B9" s="133" t="s">
        <v>53</v>
      </c>
      <c r="C9" s="120"/>
      <c r="D9" s="29">
        <f>F9/115*15</f>
        <v>30116.621739130434</v>
      </c>
      <c r="E9" s="29"/>
      <c r="F9" s="29">
        <v>230894.1</v>
      </c>
    </row>
    <row r="10" spans="1:8">
      <c r="A10" s="18"/>
      <c r="B10" s="10"/>
      <c r="C10" s="37"/>
      <c r="D10" s="29"/>
      <c r="E10" s="29"/>
      <c r="F10" s="29"/>
    </row>
    <row r="11" spans="1:8" ht="26.4">
      <c r="A11" s="18"/>
      <c r="B11" s="133" t="s">
        <v>54</v>
      </c>
      <c r="C11" s="120"/>
      <c r="D11" s="29">
        <f>F11/115*15</f>
        <v>5700</v>
      </c>
      <c r="E11" s="29"/>
      <c r="F11" s="29">
        <v>43700</v>
      </c>
    </row>
    <row r="12" spans="1:8">
      <c r="A12" s="18"/>
      <c r="B12" s="10"/>
      <c r="C12" s="37"/>
      <c r="D12" s="29"/>
      <c r="E12" s="29"/>
      <c r="F12" s="29"/>
    </row>
    <row r="13" spans="1:8" ht="39.6">
      <c r="A13" s="18"/>
      <c r="B13" s="133" t="s">
        <v>55</v>
      </c>
      <c r="C13" s="120"/>
      <c r="D13" s="29">
        <v>0</v>
      </c>
      <c r="E13" s="29"/>
      <c r="F13" s="29">
        <v>88405.08</v>
      </c>
      <c r="H13" s="5"/>
    </row>
    <row r="14" spans="1:8">
      <c r="A14" s="18"/>
      <c r="B14" s="10"/>
      <c r="C14" s="37"/>
      <c r="D14" s="29"/>
      <c r="E14" s="29"/>
      <c r="F14" s="29"/>
    </row>
    <row r="15" spans="1:8" ht="39.6">
      <c r="A15" s="18"/>
      <c r="B15" s="133" t="s">
        <v>56</v>
      </c>
      <c r="C15" s="120"/>
      <c r="D15" s="29">
        <f>F15/115*15</f>
        <v>15766.533913043479</v>
      </c>
      <c r="E15" s="29"/>
      <c r="F15" s="29">
        <v>120876.76</v>
      </c>
    </row>
    <row r="16" spans="1:8">
      <c r="A16" s="18"/>
      <c r="B16" s="10"/>
      <c r="C16" s="37"/>
      <c r="D16" s="53"/>
      <c r="E16" s="29"/>
      <c r="F16" s="53"/>
    </row>
    <row r="17" spans="1:6">
      <c r="A17" s="18"/>
      <c r="B17" s="10" t="s">
        <v>57</v>
      </c>
      <c r="C17" s="37"/>
      <c r="D17" s="29">
        <f>SUM(D9:D16)</f>
        <v>51583.155652173918</v>
      </c>
      <c r="E17" s="29"/>
      <c r="F17" s="29">
        <f>SUM(F9:F16)</f>
        <v>483875.94</v>
      </c>
    </row>
    <row r="18" spans="1:6">
      <c r="A18" s="18"/>
      <c r="B18" s="10"/>
      <c r="C18" s="37"/>
      <c r="D18" s="29"/>
      <c r="E18" s="29"/>
      <c r="F18" s="29"/>
    </row>
    <row r="19" spans="1:6">
      <c r="A19" s="18"/>
      <c r="B19" s="10"/>
      <c r="C19" s="37"/>
      <c r="D19" s="29"/>
      <c r="E19" s="29"/>
      <c r="F19" s="29"/>
    </row>
    <row r="20" spans="1:6">
      <c r="A20" s="18"/>
      <c r="B20" s="42" t="s">
        <v>20</v>
      </c>
      <c r="C20" s="43"/>
      <c r="D20" s="29"/>
      <c r="E20" s="29"/>
      <c r="F20" s="29"/>
    </row>
    <row r="21" spans="1:6">
      <c r="A21" s="18"/>
      <c r="B21" s="10"/>
      <c r="C21" s="37"/>
      <c r="D21" s="29"/>
      <c r="E21" s="29"/>
      <c r="F21" s="29"/>
    </row>
    <row r="22" spans="1:6">
      <c r="A22" s="18"/>
      <c r="B22" s="10" t="s">
        <v>58</v>
      </c>
      <c r="C22" s="37"/>
      <c r="D22" s="29">
        <v>0</v>
      </c>
      <c r="E22" s="29">
        <f>'Schedule A,B C &amp; D'!E11</f>
        <v>9348.534725250669</v>
      </c>
      <c r="F22" s="29"/>
    </row>
    <row r="23" spans="1:6">
      <c r="A23" s="18"/>
      <c r="B23" s="10"/>
      <c r="C23" s="37"/>
      <c r="D23" s="29"/>
      <c r="E23" s="29"/>
      <c r="F23" s="29"/>
    </row>
    <row r="24" spans="1:6">
      <c r="A24" s="18"/>
      <c r="B24" s="10" t="s">
        <v>22</v>
      </c>
      <c r="C24" s="37"/>
      <c r="D24" s="29"/>
      <c r="E24" s="29"/>
      <c r="F24" s="29"/>
    </row>
    <row r="25" spans="1:6" ht="26.4">
      <c r="A25" s="18"/>
      <c r="B25" s="133" t="s">
        <v>47</v>
      </c>
      <c r="C25" s="120"/>
      <c r="D25" s="29">
        <f>E25/115*15</f>
        <v>230.57255606942363</v>
      </c>
      <c r="E25" s="29">
        <f>'Schedule A,B C &amp; D'!F11</f>
        <v>1767.7229298655811</v>
      </c>
      <c r="F25" s="29"/>
    </row>
    <row r="26" spans="1:6">
      <c r="A26" s="18"/>
      <c r="B26" s="10"/>
      <c r="C26" s="37"/>
      <c r="D26" s="29"/>
      <c r="E26" s="29"/>
      <c r="F26" s="29"/>
    </row>
    <row r="27" spans="1:6">
      <c r="A27" s="18"/>
      <c r="B27" s="10" t="s">
        <v>59</v>
      </c>
      <c r="C27" s="37"/>
      <c r="D27" s="29">
        <f>E27/115*15</f>
        <v>7142.0769997826092</v>
      </c>
      <c r="E27" s="29">
        <f>'Schedule A,B C &amp; D'!F90</f>
        <v>54755.923665000002</v>
      </c>
      <c r="F27" s="29"/>
    </row>
    <row r="28" spans="1:6">
      <c r="A28" s="18"/>
      <c r="B28" s="10"/>
      <c r="C28" s="37"/>
      <c r="D28" s="29"/>
      <c r="E28" s="29"/>
      <c r="F28" s="29"/>
    </row>
    <row r="29" spans="1:6">
      <c r="A29" s="18"/>
      <c r="B29" s="133" t="s">
        <v>60</v>
      </c>
      <c r="C29" s="120"/>
      <c r="D29" s="29">
        <f>E29/115*15</f>
        <v>2430.2517391304345</v>
      </c>
      <c r="E29" s="29">
        <v>18631.93</v>
      </c>
      <c r="F29" s="29"/>
    </row>
    <row r="30" spans="1:6">
      <c r="A30" s="18"/>
      <c r="B30" s="10"/>
      <c r="C30" s="37"/>
      <c r="D30" s="29"/>
      <c r="E30" s="29"/>
      <c r="F30" s="29"/>
    </row>
    <row r="31" spans="1:6" ht="26.4">
      <c r="A31" s="18"/>
      <c r="B31" s="133" t="s">
        <v>195</v>
      </c>
      <c r="C31" s="37"/>
      <c r="D31" s="29">
        <f>E31/115*15</f>
        <v>280.19999405841099</v>
      </c>
      <c r="E31" s="29">
        <f>'Schedule A,B C &amp; D'!F102</f>
        <v>2148.1999544478176</v>
      </c>
      <c r="F31" s="29"/>
    </row>
    <row r="32" spans="1:6">
      <c r="A32" s="18"/>
      <c r="B32" s="133"/>
      <c r="C32" s="37"/>
      <c r="D32" s="29"/>
      <c r="E32" s="29"/>
      <c r="F32" s="29"/>
    </row>
    <row r="33" spans="1:6" ht="26.4" customHeight="1">
      <c r="A33" s="18"/>
      <c r="B33" s="133" t="s">
        <v>196</v>
      </c>
      <c r="C33" s="37"/>
      <c r="D33" s="29">
        <f>E33/115*15</f>
        <v>53.031843344427422</v>
      </c>
      <c r="E33" s="29">
        <f>'Schedule A,B C &amp; D'!F103</f>
        <v>406.57746564061023</v>
      </c>
      <c r="F33" s="29"/>
    </row>
    <row r="34" spans="1:6">
      <c r="A34" s="18"/>
      <c r="B34" s="10"/>
      <c r="C34" s="37"/>
      <c r="D34" s="29"/>
      <c r="E34" s="29"/>
      <c r="F34" s="29"/>
    </row>
    <row r="35" spans="1:6" ht="16.8" customHeight="1">
      <c r="A35" s="18"/>
      <c r="B35" s="133" t="s">
        <v>121</v>
      </c>
      <c r="C35" s="120"/>
      <c r="D35" s="29">
        <f>E35/115*15</f>
        <v>901.83913043478265</v>
      </c>
      <c r="E35" s="29">
        <v>6914.1</v>
      </c>
      <c r="F35" s="29"/>
    </row>
    <row r="36" spans="1:6">
      <c r="A36" s="18"/>
      <c r="B36" s="133"/>
      <c r="C36" s="120"/>
      <c r="D36" s="29"/>
      <c r="E36" s="29"/>
      <c r="F36" s="29"/>
    </row>
    <row r="37" spans="1:6" ht="26.4">
      <c r="A37" s="18"/>
      <c r="B37" s="133" t="s">
        <v>131</v>
      </c>
      <c r="C37" s="120"/>
      <c r="D37" s="29"/>
      <c r="E37" s="29">
        <v>15000</v>
      </c>
      <c r="F37" s="29"/>
    </row>
    <row r="38" spans="1:6">
      <c r="A38" s="18"/>
      <c r="B38" s="10"/>
      <c r="C38" s="37"/>
      <c r="D38" s="29"/>
      <c r="E38" s="29"/>
      <c r="F38" s="29"/>
    </row>
    <row r="39" spans="1:6">
      <c r="A39" s="18"/>
      <c r="B39" s="10" t="s">
        <v>122</v>
      </c>
      <c r="C39" s="37"/>
      <c r="D39" s="29"/>
      <c r="E39" s="29"/>
      <c r="F39" s="29"/>
    </row>
    <row r="40" spans="1:6">
      <c r="A40" s="18"/>
      <c r="B40" s="10"/>
      <c r="C40" s="37"/>
      <c r="D40" s="29"/>
      <c r="E40" s="29"/>
      <c r="F40" s="29"/>
    </row>
    <row r="41" spans="1:6">
      <c r="A41" s="18"/>
      <c r="B41" s="10" t="s">
        <v>123</v>
      </c>
      <c r="C41" s="37"/>
      <c r="D41" s="29">
        <f t="shared" ref="D41:D48" si="0">E41/115*15</f>
        <v>120</v>
      </c>
      <c r="E41" s="29">
        <v>920</v>
      </c>
      <c r="F41" s="29"/>
    </row>
    <row r="42" spans="1:6">
      <c r="A42" s="18"/>
      <c r="B42" s="10" t="s">
        <v>127</v>
      </c>
      <c r="C42" s="37"/>
      <c r="D42" s="29">
        <f t="shared" si="0"/>
        <v>4.9330434782608696</v>
      </c>
      <c r="E42" s="29">
        <v>37.82</v>
      </c>
      <c r="F42" s="29"/>
    </row>
    <row r="43" spans="1:6">
      <c r="A43" s="18"/>
      <c r="B43" s="10" t="s">
        <v>126</v>
      </c>
      <c r="C43" s="37"/>
      <c r="D43" s="29">
        <f t="shared" si="0"/>
        <v>4.9330434782608696</v>
      </c>
      <c r="E43" s="29">
        <v>37.82</v>
      </c>
      <c r="F43" s="29"/>
    </row>
    <row r="44" spans="1:6">
      <c r="A44" s="18"/>
      <c r="B44" s="10" t="s">
        <v>128</v>
      </c>
      <c r="C44" s="37"/>
      <c r="D44" s="29">
        <f t="shared" si="0"/>
        <v>4.9330434782608696</v>
      </c>
      <c r="E44" s="29">
        <v>37.82</v>
      </c>
      <c r="F44" s="29"/>
    </row>
    <row r="45" spans="1:6">
      <c r="A45" s="18"/>
      <c r="B45" s="10"/>
      <c r="C45" s="37"/>
      <c r="D45" s="29"/>
      <c r="E45" s="29"/>
      <c r="F45" s="29"/>
    </row>
    <row r="46" spans="1:6">
      <c r="A46" s="18"/>
      <c r="B46" s="10" t="s">
        <v>124</v>
      </c>
      <c r="C46" s="37"/>
      <c r="D46" s="29">
        <f t="shared" si="0"/>
        <v>52.173913043478258</v>
      </c>
      <c r="E46" s="29">
        <v>400</v>
      </c>
      <c r="F46" s="29"/>
    </row>
    <row r="47" spans="1:6">
      <c r="A47" s="18"/>
      <c r="B47" s="10"/>
      <c r="C47" s="37"/>
      <c r="D47" s="29"/>
      <c r="E47" s="29"/>
      <c r="F47" s="29"/>
    </row>
    <row r="48" spans="1:6">
      <c r="A48" s="18"/>
      <c r="B48" s="10" t="s">
        <v>125</v>
      </c>
      <c r="C48" s="37"/>
      <c r="D48" s="29">
        <f t="shared" si="0"/>
        <v>134.34782608695653</v>
      </c>
      <c r="E48" s="29">
        <v>1030</v>
      </c>
      <c r="F48" s="29"/>
    </row>
    <row r="49" spans="1:6">
      <c r="A49" s="18"/>
      <c r="B49" s="10"/>
      <c r="C49" s="37"/>
      <c r="D49" s="29"/>
      <c r="E49" s="29"/>
      <c r="F49" s="29"/>
    </row>
    <row r="50" spans="1:6">
      <c r="A50" s="18"/>
      <c r="B50" s="10" t="s">
        <v>86</v>
      </c>
      <c r="C50" s="121"/>
      <c r="D50" s="29"/>
      <c r="E50" s="29">
        <f>D17-D52</f>
        <v>40223.862519788614</v>
      </c>
      <c r="F50" s="29"/>
    </row>
    <row r="51" spans="1:6">
      <c r="A51" s="18"/>
      <c r="B51" s="10"/>
      <c r="C51" s="37"/>
      <c r="D51" s="53"/>
      <c r="E51" s="53"/>
      <c r="F51" s="29"/>
    </row>
    <row r="52" spans="1:6">
      <c r="A52" s="18"/>
      <c r="B52" s="42" t="s">
        <v>92</v>
      </c>
      <c r="C52" s="43"/>
      <c r="D52" s="56">
        <f>SUM(D22:D51)</f>
        <v>11359.293132385304</v>
      </c>
      <c r="E52" s="56">
        <f>SUM(E22:E51)</f>
        <v>151660.31125999329</v>
      </c>
      <c r="F52" s="29"/>
    </row>
    <row r="53" spans="1:6">
      <c r="A53" s="18"/>
      <c r="B53" s="10"/>
      <c r="C53" s="37"/>
      <c r="D53" s="29"/>
      <c r="E53" s="29"/>
      <c r="F53" s="29"/>
    </row>
    <row r="54" spans="1:6">
      <c r="A54" s="18"/>
      <c r="B54" s="10"/>
      <c r="C54" s="37"/>
      <c r="D54" s="29"/>
      <c r="E54" s="29"/>
      <c r="F54" s="29"/>
    </row>
    <row r="55" spans="1:6">
      <c r="A55" s="18"/>
      <c r="B55" s="42" t="s">
        <v>64</v>
      </c>
      <c r="C55" s="43"/>
      <c r="D55" s="29"/>
      <c r="E55" s="29"/>
      <c r="F55" s="29"/>
    </row>
    <row r="56" spans="1:6">
      <c r="A56" s="18"/>
      <c r="B56" s="42"/>
      <c r="C56" s="43"/>
      <c r="D56" s="29"/>
      <c r="E56" s="29"/>
      <c r="F56" s="29"/>
    </row>
    <row r="57" spans="1:6">
      <c r="A57" s="18"/>
      <c r="B57" s="80" t="s">
        <v>132</v>
      </c>
      <c r="C57" s="37"/>
      <c r="D57" s="29"/>
      <c r="E57" s="29"/>
      <c r="F57" s="29"/>
    </row>
    <row r="58" spans="1:6">
      <c r="A58" s="18"/>
      <c r="B58" s="10"/>
      <c r="C58" s="37"/>
      <c r="D58" s="29"/>
      <c r="E58" s="29"/>
      <c r="F58" s="29"/>
    </row>
    <row r="59" spans="1:6">
      <c r="A59" s="18"/>
      <c r="B59" s="33" t="s">
        <v>149</v>
      </c>
      <c r="C59" s="76"/>
      <c r="D59" s="29"/>
      <c r="E59" s="29">
        <f>C60+C61</f>
        <v>16000</v>
      </c>
      <c r="F59" s="29"/>
    </row>
    <row r="60" spans="1:6">
      <c r="A60" s="18"/>
      <c r="B60" s="82" t="s">
        <v>129</v>
      </c>
      <c r="C60" s="137">
        <v>12000</v>
      </c>
      <c r="D60" s="29"/>
      <c r="E60" s="29"/>
      <c r="F60" s="29"/>
    </row>
    <row r="61" spans="1:6">
      <c r="A61" s="18"/>
      <c r="B61" s="82" t="s">
        <v>130</v>
      </c>
      <c r="C61" s="138">
        <v>4000</v>
      </c>
      <c r="D61" s="29"/>
      <c r="E61" s="29"/>
      <c r="F61" s="29"/>
    </row>
    <row r="62" spans="1:6">
      <c r="A62" s="18"/>
      <c r="B62" s="45"/>
      <c r="C62" s="138">
        <f>SUM(C60:C61)</f>
        <v>16000</v>
      </c>
      <c r="D62" s="29"/>
      <c r="E62" s="29"/>
      <c r="F62" s="29"/>
    </row>
    <row r="63" spans="1:6">
      <c r="A63" s="18"/>
      <c r="B63" s="10"/>
      <c r="C63" s="87"/>
      <c r="D63" s="29"/>
      <c r="E63" s="29"/>
      <c r="F63" s="29"/>
    </row>
    <row r="64" spans="1:6">
      <c r="A64" s="18"/>
      <c r="B64" s="33" t="s">
        <v>150</v>
      </c>
      <c r="C64" s="139"/>
      <c r="D64" s="29"/>
      <c r="E64" s="29">
        <f>C67</f>
        <v>9000</v>
      </c>
      <c r="F64" s="29"/>
    </row>
    <row r="65" spans="1:6">
      <c r="A65" s="18"/>
      <c r="B65" s="82" t="s">
        <v>151</v>
      </c>
      <c r="C65" s="137">
        <v>12000</v>
      </c>
      <c r="D65" s="29"/>
      <c r="E65" s="29"/>
      <c r="F65" s="29"/>
    </row>
    <row r="66" spans="1:6">
      <c r="A66" s="18"/>
      <c r="B66" s="82"/>
      <c r="C66" s="137"/>
      <c r="D66" s="29"/>
      <c r="E66" s="29"/>
      <c r="F66" s="29"/>
    </row>
    <row r="67" spans="1:6">
      <c r="A67" s="18"/>
      <c r="B67" s="123" t="s">
        <v>152</v>
      </c>
      <c r="C67" s="138">
        <v>9000</v>
      </c>
      <c r="D67" s="29"/>
      <c r="E67" s="29"/>
      <c r="F67" s="29"/>
    </row>
    <row r="68" spans="1:6">
      <c r="A68" s="18"/>
      <c r="B68" s="10"/>
      <c r="C68" s="37"/>
      <c r="D68" s="29"/>
      <c r="E68" s="29"/>
      <c r="F68" s="29"/>
    </row>
    <row r="69" spans="1:6">
      <c r="A69" s="18"/>
      <c r="B69" s="10" t="s">
        <v>133</v>
      </c>
      <c r="C69" s="37"/>
      <c r="D69" s="29"/>
      <c r="E69" s="29">
        <v>119345.02</v>
      </c>
      <c r="F69" s="29"/>
    </row>
    <row r="70" spans="1:6">
      <c r="A70" s="18"/>
      <c r="B70" s="10"/>
      <c r="C70" s="37"/>
      <c r="D70" s="29"/>
      <c r="E70" s="29"/>
      <c r="F70" s="29"/>
    </row>
    <row r="71" spans="1:6">
      <c r="A71" s="18"/>
      <c r="B71" s="10" t="s">
        <v>134</v>
      </c>
      <c r="C71" s="37"/>
      <c r="D71" s="29"/>
      <c r="E71" s="29">
        <v>17841.62</v>
      </c>
      <c r="F71" s="29"/>
    </row>
    <row r="72" spans="1:6">
      <c r="A72" s="18"/>
      <c r="B72" s="10"/>
      <c r="C72" s="37"/>
      <c r="D72" s="29"/>
      <c r="E72" s="29"/>
      <c r="F72" s="29"/>
    </row>
    <row r="73" spans="1:6">
      <c r="A73" s="18"/>
      <c r="B73" s="10"/>
      <c r="C73" s="37"/>
      <c r="D73" s="29"/>
      <c r="E73" s="29"/>
      <c r="F73" s="29"/>
    </row>
    <row r="74" spans="1:6">
      <c r="A74" s="18"/>
      <c r="B74" s="10" t="s">
        <v>185</v>
      </c>
      <c r="C74" s="37"/>
      <c r="D74" s="29"/>
      <c r="E74" s="29"/>
      <c r="F74" s="29"/>
    </row>
    <row r="75" spans="1:6" ht="13.8">
      <c r="A75" s="18"/>
      <c r="B75" s="134" t="s">
        <v>179</v>
      </c>
      <c r="C75" s="135">
        <f>DISTRIBUTION!E47</f>
        <v>10.15107232481347</v>
      </c>
      <c r="D75" s="124"/>
      <c r="E75" s="29">
        <v>170028.99</v>
      </c>
      <c r="F75" s="29"/>
    </row>
    <row r="76" spans="1:6">
      <c r="A76" s="18"/>
      <c r="B76" s="10"/>
      <c r="C76" s="37"/>
      <c r="D76" s="29"/>
      <c r="E76" s="29"/>
      <c r="F76" s="29"/>
    </row>
    <row r="77" spans="1:6">
      <c r="A77" s="18"/>
      <c r="B77" s="10"/>
      <c r="C77" s="37"/>
      <c r="D77" s="29"/>
      <c r="E77" s="29"/>
      <c r="F77" s="29"/>
    </row>
    <row r="78" spans="1:6">
      <c r="A78" s="18"/>
      <c r="B78" s="10"/>
      <c r="C78" s="37"/>
      <c r="D78" s="29"/>
      <c r="E78" s="53"/>
      <c r="F78" s="53"/>
    </row>
    <row r="79" spans="1:6">
      <c r="A79" s="19"/>
      <c r="B79" s="77" t="s">
        <v>35</v>
      </c>
      <c r="C79" s="73"/>
      <c r="D79" s="78"/>
      <c r="E79" s="78">
        <f>SUM(E52:E78)</f>
        <v>483875.9412599933</v>
      </c>
      <c r="F79" s="78">
        <f>SUM(F17:F78)</f>
        <v>483875.94</v>
      </c>
    </row>
    <row r="80" spans="1:6">
      <c r="A80" s="19"/>
      <c r="B80" s="46"/>
      <c r="C80" s="38"/>
      <c r="D80" s="53"/>
      <c r="E80" s="53"/>
      <c r="F80" s="53"/>
    </row>
    <row r="81" spans="5:5">
      <c r="E81" s="12">
        <f>E79-F79</f>
        <v>1.2599932961165905E-3</v>
      </c>
    </row>
  </sheetData>
  <pageMargins left="0.70866141732283472" right="0.70866141732283472" top="0.74803149606299213" bottom="0.74803149606299213" header="0.31496062992125984" footer="0.31496062992125984"/>
  <pageSetup scale="77" orientation="portrait" r:id="rId1"/>
  <headerFooter>
    <oddFooter>&amp;L202324-1083.Paper2Summative&amp;RPage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7BC9-2DB9-4388-AD88-8BE804D60F1E}">
  <dimension ref="A1:J123"/>
  <sheetViews>
    <sheetView topLeftCell="A100" zoomScaleNormal="100" workbookViewId="0">
      <selection activeCell="H39" sqref="H39"/>
    </sheetView>
  </sheetViews>
  <sheetFormatPr defaultRowHeight="13.2"/>
  <cols>
    <col min="1" max="1" width="2.44140625" style="3" customWidth="1"/>
    <col min="2" max="2" width="25.33203125" style="3" customWidth="1"/>
    <col min="3" max="3" width="4.77734375" style="3" customWidth="1"/>
    <col min="4" max="5" width="18.77734375" style="3" bestFit="1" customWidth="1"/>
    <col min="6" max="6" width="18.21875" style="3" bestFit="1" customWidth="1"/>
    <col min="7" max="7" width="11.21875" style="3" bestFit="1" customWidth="1"/>
    <col min="8" max="16384" width="8.88671875" style="3"/>
  </cols>
  <sheetData>
    <row r="1" spans="1:6">
      <c r="B1" s="1" t="s">
        <v>95</v>
      </c>
    </row>
    <row r="3" spans="1:6">
      <c r="B3" s="1" t="s">
        <v>24</v>
      </c>
      <c r="C3" s="1"/>
      <c r="D3" s="1"/>
      <c r="E3" s="1"/>
      <c r="F3" s="1"/>
    </row>
    <row r="4" spans="1:6" ht="21" customHeight="1">
      <c r="B4" s="165" t="s">
        <v>29</v>
      </c>
      <c r="C4" s="165"/>
      <c r="D4" s="165"/>
      <c r="E4" s="165"/>
      <c r="F4" s="165"/>
    </row>
    <row r="5" spans="1:6">
      <c r="B5" s="1"/>
      <c r="C5" s="1"/>
      <c r="D5" s="1"/>
      <c r="E5" s="1"/>
      <c r="F5" s="1"/>
    </row>
    <row r="6" spans="1:6">
      <c r="A6" s="25"/>
      <c r="B6" s="23" t="s">
        <v>25</v>
      </c>
      <c r="C6" s="23"/>
      <c r="D6" s="26" t="s">
        <v>26</v>
      </c>
      <c r="E6" s="26" t="s">
        <v>27</v>
      </c>
      <c r="F6" s="24" t="s">
        <v>28</v>
      </c>
    </row>
    <row r="7" spans="1:6">
      <c r="A7" s="8"/>
      <c r="B7" s="10"/>
      <c r="C7" s="10"/>
      <c r="D7" s="27"/>
      <c r="E7" s="27"/>
      <c r="F7" s="28"/>
    </row>
    <row r="8" spans="1:6">
      <c r="A8" s="8"/>
      <c r="B8" s="10" t="s">
        <v>192</v>
      </c>
      <c r="C8" s="10"/>
      <c r="D8" s="29">
        <v>9100000</v>
      </c>
      <c r="E8" s="29">
        <f>$D8/$D$13*E$13</f>
        <v>175812.96974547047</v>
      </c>
      <c r="F8" s="30">
        <f t="shared" ref="E8:F11" si="0">$D8/$D$13*F$13</f>
        <v>33244.634279143509</v>
      </c>
    </row>
    <row r="9" spans="1:6">
      <c r="A9" s="8"/>
      <c r="B9" s="10" t="s">
        <v>193</v>
      </c>
      <c r="C9" s="10"/>
      <c r="D9" s="13">
        <v>3500000</v>
      </c>
      <c r="E9" s="29">
        <f t="shared" si="0"/>
        <v>67620.372979027103</v>
      </c>
      <c r="F9" s="30">
        <f t="shared" si="0"/>
        <v>12786.39779967058</v>
      </c>
    </row>
    <row r="10" spans="1:6">
      <c r="A10" s="8"/>
      <c r="B10" s="10" t="s">
        <v>194</v>
      </c>
      <c r="C10" s="10"/>
      <c r="D10" s="13">
        <v>1150000</v>
      </c>
      <c r="E10" s="29">
        <f t="shared" si="0"/>
        <v>22218.122550251763</v>
      </c>
      <c r="F10" s="30">
        <f t="shared" si="0"/>
        <v>4201.2449913203336</v>
      </c>
    </row>
    <row r="11" spans="1:6">
      <c r="A11" s="8"/>
      <c r="B11" s="10" t="s">
        <v>33</v>
      </c>
      <c r="C11" s="10"/>
      <c r="D11" s="29">
        <v>483875.94</v>
      </c>
      <c r="E11" s="29">
        <f t="shared" si="0"/>
        <v>9348.534725250669</v>
      </c>
      <c r="F11" s="30">
        <f t="shared" si="0"/>
        <v>1767.7229298655811</v>
      </c>
    </row>
    <row r="12" spans="1:6">
      <c r="A12" s="8"/>
      <c r="B12" s="10"/>
      <c r="C12" s="10"/>
      <c r="D12" s="29"/>
      <c r="E12" s="29"/>
      <c r="F12" s="30"/>
    </row>
    <row r="13" spans="1:6">
      <c r="A13" s="25"/>
      <c r="B13" s="23" t="s">
        <v>35</v>
      </c>
      <c r="C13" s="23"/>
      <c r="D13" s="31">
        <f>SUM(D8:D12)</f>
        <v>14233875.939999999</v>
      </c>
      <c r="E13" s="31">
        <f>F25</f>
        <v>275000</v>
      </c>
      <c r="F13" s="32">
        <v>52000</v>
      </c>
    </row>
    <row r="15" spans="1:6">
      <c r="A15" s="33"/>
      <c r="B15" s="34" t="s">
        <v>34</v>
      </c>
      <c r="C15" s="35"/>
      <c r="D15" s="35"/>
      <c r="E15" s="35"/>
      <c r="F15" s="36"/>
    </row>
    <row r="16" spans="1:6">
      <c r="A16" s="8"/>
      <c r="B16" s="10"/>
      <c r="C16" s="10"/>
      <c r="D16" s="10"/>
      <c r="E16" s="10"/>
      <c r="F16" s="28"/>
    </row>
    <row r="17" spans="1:6">
      <c r="A17" s="8"/>
      <c r="B17" s="10" t="s">
        <v>36</v>
      </c>
      <c r="C17" s="10"/>
      <c r="D17" s="37">
        <f>D13</f>
        <v>14233875.939999999</v>
      </c>
      <c r="E17" s="37"/>
      <c r="F17" s="30">
        <v>1000</v>
      </c>
    </row>
    <row r="18" spans="1:6">
      <c r="A18" s="8"/>
      <c r="B18" s="10" t="s">
        <v>37</v>
      </c>
      <c r="C18" s="10"/>
      <c r="D18" s="38">
        <v>150000</v>
      </c>
      <c r="E18" s="37"/>
      <c r="F18" s="30"/>
    </row>
    <row r="19" spans="1:6">
      <c r="A19" s="8"/>
      <c r="B19" s="10"/>
      <c r="C19" s="10"/>
      <c r="D19" s="37">
        <f>D17-D18</f>
        <v>14083875.939999999</v>
      </c>
      <c r="E19" s="37"/>
      <c r="F19" s="30"/>
    </row>
    <row r="20" spans="1:6">
      <c r="A20" s="8"/>
      <c r="B20" s="10" t="s">
        <v>38</v>
      </c>
      <c r="C20" s="10"/>
      <c r="D20" s="39">
        <f>D19/5000</f>
        <v>2816.7751880000001</v>
      </c>
      <c r="E20" s="37"/>
      <c r="F20" s="30"/>
    </row>
    <row r="21" spans="1:6">
      <c r="A21" s="8"/>
      <c r="B21" s="10" t="s">
        <v>61</v>
      </c>
      <c r="C21" s="10"/>
      <c r="D21" s="37">
        <f>2816*275</f>
        <v>774400</v>
      </c>
      <c r="E21" s="37"/>
      <c r="F21" s="30">
        <f>D21</f>
        <v>774400</v>
      </c>
    </row>
    <row r="22" spans="1:6">
      <c r="A22" s="8"/>
      <c r="B22" s="10"/>
      <c r="C22" s="10"/>
      <c r="D22" s="37"/>
      <c r="E22" s="37"/>
      <c r="F22" s="40"/>
    </row>
    <row r="23" spans="1:6">
      <c r="A23" s="8"/>
      <c r="B23" s="10" t="s">
        <v>39</v>
      </c>
      <c r="C23" s="10"/>
      <c r="D23" s="37"/>
      <c r="E23" s="37"/>
      <c r="F23" s="41">
        <f>SUM(F17:F22)</f>
        <v>775400</v>
      </c>
    </row>
    <row r="24" spans="1:6">
      <c r="A24" s="8"/>
      <c r="B24" s="10"/>
      <c r="C24" s="10"/>
      <c r="D24" s="37"/>
      <c r="E24" s="37"/>
      <c r="F24" s="30"/>
    </row>
    <row r="25" spans="1:6">
      <c r="A25" s="8"/>
      <c r="B25" s="42" t="s">
        <v>93</v>
      </c>
      <c r="C25" s="42"/>
      <c r="D25" s="43"/>
      <c r="E25" s="43"/>
      <c r="F25" s="44">
        <v>275000</v>
      </c>
    </row>
    <row r="26" spans="1:6">
      <c r="A26" s="45"/>
      <c r="B26" s="46"/>
      <c r="C26" s="46"/>
      <c r="D26" s="46"/>
      <c r="E26" s="46"/>
      <c r="F26" s="47"/>
    </row>
    <row r="28" spans="1:6">
      <c r="B28" s="1" t="s">
        <v>40</v>
      </c>
    </row>
    <row r="29" spans="1:6" ht="32.4" customHeight="1">
      <c r="B29" s="165" t="s">
        <v>41</v>
      </c>
      <c r="C29" s="165"/>
      <c r="D29" s="165"/>
      <c r="E29" s="165"/>
      <c r="F29" s="165"/>
    </row>
    <row r="31" spans="1:6">
      <c r="B31" s="6" t="s">
        <v>30</v>
      </c>
      <c r="C31" s="35"/>
      <c r="D31" s="52"/>
      <c r="E31" s="52"/>
      <c r="F31" s="36"/>
    </row>
    <row r="32" spans="1:6">
      <c r="B32" s="48" t="s">
        <v>172</v>
      </c>
      <c r="C32" s="10"/>
      <c r="D32" s="27"/>
      <c r="E32" s="27"/>
      <c r="F32" s="28"/>
    </row>
    <row r="33" spans="2:10">
      <c r="B33" s="8"/>
      <c r="C33" s="10"/>
      <c r="D33" s="27"/>
      <c r="E33" s="27"/>
      <c r="F33" s="28"/>
      <c r="I33" s="10"/>
    </row>
    <row r="34" spans="2:10">
      <c r="B34" s="8" t="s">
        <v>42</v>
      </c>
      <c r="C34" s="10"/>
      <c r="D34" s="29">
        <v>9100000</v>
      </c>
      <c r="E34" s="27"/>
      <c r="F34" s="30">
        <f>D34*0.03</f>
        <v>273000</v>
      </c>
    </row>
    <row r="35" spans="2:10">
      <c r="B35" s="8" t="s">
        <v>43</v>
      </c>
      <c r="C35" s="10"/>
      <c r="D35" s="146">
        <f>D34/115*15</f>
        <v>1186956.5217391304</v>
      </c>
      <c r="E35" s="195" t="s">
        <v>44</v>
      </c>
      <c r="F35" s="40">
        <f>D35*0.15*0.03</f>
        <v>5341.3043478260861</v>
      </c>
    </row>
    <row r="36" spans="2:10">
      <c r="B36" s="48" t="s">
        <v>45</v>
      </c>
      <c r="C36" s="10"/>
      <c r="D36" s="27"/>
      <c r="E36" s="27"/>
      <c r="F36" s="30">
        <f>F34-F35</f>
        <v>267658.69565217389</v>
      </c>
    </row>
    <row r="37" spans="2:10">
      <c r="B37" s="8"/>
      <c r="C37" s="10"/>
      <c r="D37" s="27"/>
      <c r="E37" s="27"/>
      <c r="F37" s="28"/>
    </row>
    <row r="38" spans="2:10">
      <c r="B38" s="8" t="s">
        <v>62</v>
      </c>
      <c r="C38" s="10"/>
      <c r="D38" s="27"/>
      <c r="E38" s="27"/>
      <c r="F38" s="50">
        <f>F36*0.15</f>
        <v>40148.804347826081</v>
      </c>
    </row>
    <row r="39" spans="2:10">
      <c r="B39" s="8"/>
      <c r="C39" s="10"/>
      <c r="D39" s="27"/>
      <c r="E39" s="27"/>
      <c r="F39" s="47"/>
    </row>
    <row r="40" spans="2:10">
      <c r="B40" s="48" t="s">
        <v>63</v>
      </c>
      <c r="C40" s="42"/>
      <c r="D40" s="57"/>
      <c r="E40" s="57"/>
      <c r="F40" s="51">
        <f>SUM(F36:F39)</f>
        <v>307807.5</v>
      </c>
    </row>
    <row r="41" spans="2:10">
      <c r="B41" s="45"/>
      <c r="C41" s="46"/>
      <c r="D41" s="54"/>
      <c r="E41" s="54"/>
      <c r="F41" s="47"/>
    </row>
    <row r="42" spans="2:10">
      <c r="H42" s="2"/>
      <c r="I42" s="2"/>
      <c r="J42" s="2"/>
    </row>
    <row r="43" spans="2:10">
      <c r="B43" s="6" t="s">
        <v>31</v>
      </c>
      <c r="C43" s="35"/>
      <c r="D43" s="52"/>
      <c r="E43" s="52"/>
      <c r="F43" s="36"/>
      <c r="H43" s="2"/>
      <c r="I43" s="2"/>
      <c r="J43" s="2"/>
    </row>
    <row r="44" spans="2:10">
      <c r="B44" s="8"/>
      <c r="C44" s="10"/>
      <c r="D44" s="29"/>
      <c r="E44" s="27"/>
      <c r="F44" s="30"/>
      <c r="H44" s="2"/>
      <c r="I44" s="2"/>
      <c r="J44" s="2"/>
    </row>
    <row r="45" spans="2:10">
      <c r="B45" s="8" t="s">
        <v>46</v>
      </c>
      <c r="C45" s="10"/>
      <c r="D45" s="29">
        <v>3500000</v>
      </c>
      <c r="E45" s="27"/>
      <c r="F45" s="30">
        <f>D45*0.1</f>
        <v>350000</v>
      </c>
      <c r="H45" s="2"/>
      <c r="I45" s="2"/>
      <c r="J45" s="2"/>
    </row>
    <row r="46" spans="2:10">
      <c r="B46" s="8" t="s">
        <v>37</v>
      </c>
      <c r="C46" s="10"/>
      <c r="D46" s="29">
        <f>D45/115*15</f>
        <v>456521.73913043475</v>
      </c>
      <c r="E46" s="27" t="s">
        <v>98</v>
      </c>
      <c r="F46" s="40">
        <f>D46*0.15*0.1</f>
        <v>6847.826086956522</v>
      </c>
      <c r="H46" s="2"/>
      <c r="I46" s="2"/>
      <c r="J46" s="2"/>
    </row>
    <row r="47" spans="2:10">
      <c r="B47" s="8"/>
      <c r="C47" s="10"/>
      <c r="D47" s="29"/>
      <c r="E47" s="27"/>
      <c r="F47" s="30">
        <f>F45-F46</f>
        <v>343152.17391304346</v>
      </c>
      <c r="H47" s="2"/>
      <c r="I47" s="2"/>
      <c r="J47" s="2"/>
    </row>
    <row r="48" spans="2:10">
      <c r="B48" s="8"/>
      <c r="C48" s="10"/>
      <c r="D48" s="29"/>
      <c r="E48" s="27"/>
      <c r="F48" s="28"/>
      <c r="H48" s="2"/>
      <c r="I48" s="2"/>
      <c r="J48" s="2"/>
    </row>
    <row r="49" spans="2:10">
      <c r="B49" s="8" t="s">
        <v>62</v>
      </c>
      <c r="C49" s="10"/>
      <c r="D49" s="29"/>
      <c r="E49" s="27"/>
      <c r="F49" s="50">
        <f>F47*0.15</f>
        <v>51472.82608695652</v>
      </c>
      <c r="H49" s="2"/>
      <c r="I49" s="2"/>
      <c r="J49" s="2"/>
    </row>
    <row r="50" spans="2:10">
      <c r="B50" s="8"/>
      <c r="C50" s="10"/>
      <c r="D50" s="29"/>
      <c r="E50" s="27"/>
      <c r="F50" s="47"/>
    </row>
    <row r="51" spans="2:10">
      <c r="B51" s="48" t="s">
        <v>63</v>
      </c>
      <c r="C51" s="10"/>
      <c r="D51" s="29"/>
      <c r="E51" s="27"/>
      <c r="F51" s="51">
        <f>SUM(F47:F50)</f>
        <v>394625</v>
      </c>
    </row>
    <row r="52" spans="2:10">
      <c r="B52" s="45"/>
      <c r="C52" s="46"/>
      <c r="D52" s="53"/>
      <c r="E52" s="54"/>
      <c r="F52" s="47"/>
    </row>
    <row r="54" spans="2:10">
      <c r="B54" s="6" t="s">
        <v>32</v>
      </c>
      <c r="C54" s="35"/>
      <c r="D54" s="52"/>
      <c r="E54" s="52"/>
      <c r="F54" s="36"/>
    </row>
    <row r="55" spans="2:10">
      <c r="B55" s="8"/>
      <c r="C55" s="10"/>
      <c r="D55" s="29"/>
      <c r="E55" s="27"/>
      <c r="F55" s="30"/>
    </row>
    <row r="56" spans="2:10">
      <c r="B56" s="8" t="s">
        <v>46</v>
      </c>
      <c r="C56" s="10"/>
      <c r="D56" s="13">
        <v>1150000</v>
      </c>
      <c r="E56" s="27"/>
      <c r="F56" s="30">
        <f>D56*0.1</f>
        <v>115000</v>
      </c>
    </row>
    <row r="57" spans="2:10">
      <c r="B57" s="8" t="s">
        <v>37</v>
      </c>
      <c r="C57" s="10"/>
      <c r="D57" s="29">
        <f>D56/115*15</f>
        <v>150000</v>
      </c>
      <c r="E57" s="27" t="s">
        <v>98</v>
      </c>
      <c r="F57" s="40">
        <f>D57*0.15*0.1</f>
        <v>2250</v>
      </c>
    </row>
    <row r="58" spans="2:10">
      <c r="B58" s="8"/>
      <c r="C58" s="10"/>
      <c r="D58" s="29"/>
      <c r="E58" s="27"/>
      <c r="F58" s="30">
        <f>F56-F57</f>
        <v>112750</v>
      </c>
    </row>
    <row r="59" spans="2:10">
      <c r="B59" s="8"/>
      <c r="C59" s="10"/>
      <c r="D59" s="29"/>
      <c r="E59" s="27"/>
      <c r="F59" s="28"/>
    </row>
    <row r="60" spans="2:10">
      <c r="B60" s="8" t="s">
        <v>62</v>
      </c>
      <c r="C60" s="10"/>
      <c r="D60" s="29"/>
      <c r="E60" s="27"/>
      <c r="F60" s="50">
        <f>F58*0.15</f>
        <v>16912.5</v>
      </c>
    </row>
    <row r="61" spans="2:10">
      <c r="B61" s="8"/>
      <c r="C61" s="10"/>
      <c r="D61" s="29"/>
      <c r="E61" s="27"/>
      <c r="F61" s="47"/>
    </row>
    <row r="62" spans="2:10">
      <c r="B62" s="48" t="s">
        <v>63</v>
      </c>
      <c r="C62" s="10"/>
      <c r="D62" s="29"/>
      <c r="E62" s="27"/>
      <c r="F62" s="51">
        <f>SUM(F58:F61)</f>
        <v>129662.5</v>
      </c>
    </row>
    <row r="63" spans="2:10">
      <c r="B63" s="45"/>
      <c r="C63" s="46"/>
      <c r="D63" s="53"/>
      <c r="E63" s="54"/>
      <c r="F63" s="47"/>
    </row>
    <row r="65" spans="2:6">
      <c r="B65" s="6" t="s">
        <v>99</v>
      </c>
      <c r="C65" s="35"/>
      <c r="D65" s="52"/>
      <c r="E65" s="52"/>
      <c r="F65" s="36"/>
    </row>
    <row r="66" spans="2:6">
      <c r="B66" s="48"/>
      <c r="C66" s="10"/>
      <c r="D66" s="27"/>
      <c r="E66" s="27"/>
      <c r="F66" s="28"/>
    </row>
    <row r="67" spans="2:6">
      <c r="B67" s="48" t="s">
        <v>173</v>
      </c>
      <c r="C67" s="10"/>
      <c r="D67" s="27"/>
      <c r="E67" s="27"/>
      <c r="F67" s="28"/>
    </row>
    <row r="68" spans="2:6">
      <c r="B68" s="8" t="s">
        <v>46</v>
      </c>
      <c r="C68" s="10"/>
      <c r="D68" s="29">
        <v>230894.1</v>
      </c>
      <c r="E68" s="27"/>
      <c r="F68" s="30">
        <f>D68*0.1</f>
        <v>23089.410000000003</v>
      </c>
    </row>
    <row r="69" spans="2:6">
      <c r="B69" s="8" t="s">
        <v>37</v>
      </c>
      <c r="C69" s="10"/>
      <c r="D69" s="29">
        <f>D68/115*15</f>
        <v>30116.621739130434</v>
      </c>
      <c r="E69" s="27" t="s">
        <v>98</v>
      </c>
      <c r="F69" s="40">
        <f>D69*0.15*0.1</f>
        <v>451.74932608695656</v>
      </c>
    </row>
    <row r="70" spans="2:6">
      <c r="B70" s="48"/>
      <c r="C70" s="10"/>
      <c r="D70" s="29"/>
      <c r="E70" s="27"/>
      <c r="F70" s="30">
        <f>F68-F69</f>
        <v>22637.660673913048</v>
      </c>
    </row>
    <row r="71" spans="2:6" ht="39.6">
      <c r="B71" s="55" t="s">
        <v>174</v>
      </c>
      <c r="C71" s="10"/>
      <c r="D71" s="27"/>
      <c r="E71" s="27"/>
      <c r="F71" s="28"/>
    </row>
    <row r="72" spans="2:6">
      <c r="B72" s="48"/>
      <c r="C72" s="10"/>
      <c r="D72" s="27"/>
      <c r="E72" s="27"/>
      <c r="F72" s="28"/>
    </row>
    <row r="73" spans="2:6">
      <c r="B73" s="8" t="s">
        <v>46</v>
      </c>
      <c r="C73" s="10"/>
      <c r="D73" s="29">
        <v>43700</v>
      </c>
      <c r="E73" s="27"/>
      <c r="F73" s="30">
        <f>D73*0.1</f>
        <v>4370</v>
      </c>
    </row>
    <row r="74" spans="2:6">
      <c r="B74" s="8" t="s">
        <v>37</v>
      </c>
      <c r="C74" s="10"/>
      <c r="D74" s="29">
        <f>D73/115*15</f>
        <v>5700</v>
      </c>
      <c r="E74" s="27" t="s">
        <v>98</v>
      </c>
      <c r="F74" s="40">
        <f>D74*0.15*0.1</f>
        <v>85.5</v>
      </c>
    </row>
    <row r="75" spans="2:6">
      <c r="B75" s="48"/>
      <c r="C75" s="10"/>
      <c r="D75" s="29"/>
      <c r="E75" s="27"/>
      <c r="F75" s="30">
        <f>F73-F74</f>
        <v>4284.5</v>
      </c>
    </row>
    <row r="76" spans="2:6">
      <c r="B76" s="48"/>
      <c r="C76" s="10"/>
      <c r="D76" s="29"/>
      <c r="E76" s="27"/>
      <c r="F76" s="30"/>
    </row>
    <row r="77" spans="2:6">
      <c r="B77" s="48" t="s">
        <v>175</v>
      </c>
      <c r="C77" s="10"/>
      <c r="D77" s="29"/>
      <c r="E77" s="27"/>
      <c r="F77" s="30"/>
    </row>
    <row r="78" spans="2:6">
      <c r="B78" s="8" t="s">
        <v>46</v>
      </c>
      <c r="C78" s="10"/>
      <c r="D78" s="29">
        <v>88405.08</v>
      </c>
      <c r="E78" s="27"/>
      <c r="F78" s="30">
        <f>D78*0.1</f>
        <v>8840.5079999999998</v>
      </c>
    </row>
    <row r="79" spans="2:6">
      <c r="B79" s="48" t="s">
        <v>176</v>
      </c>
      <c r="C79" s="10"/>
      <c r="D79" s="29"/>
      <c r="E79" s="27"/>
      <c r="F79" s="30"/>
    </row>
    <row r="80" spans="2:6">
      <c r="B80" s="48"/>
      <c r="C80" s="10"/>
      <c r="D80" s="29"/>
      <c r="E80" s="27"/>
      <c r="F80" s="30"/>
    </row>
    <row r="81" spans="2:6">
      <c r="B81" s="48" t="s">
        <v>177</v>
      </c>
      <c r="C81" s="10"/>
      <c r="D81" s="29"/>
      <c r="E81" s="27"/>
      <c r="F81" s="30"/>
    </row>
    <row r="82" spans="2:6">
      <c r="B82" s="8" t="s">
        <v>46</v>
      </c>
      <c r="C82" s="10"/>
      <c r="D82" s="29">
        <v>120876.76</v>
      </c>
      <c r="E82" s="27"/>
      <c r="F82" s="30">
        <f>D82*0.1</f>
        <v>12087.675999999999</v>
      </c>
    </row>
    <row r="83" spans="2:6">
      <c r="B83" s="8" t="s">
        <v>37</v>
      </c>
      <c r="C83" s="10"/>
      <c r="D83" s="29">
        <f>D82/115*15</f>
        <v>15766.533913043479</v>
      </c>
      <c r="E83" s="27" t="s">
        <v>98</v>
      </c>
      <c r="F83" s="40">
        <f>D83*0.15*0.1</f>
        <v>236.49800869565217</v>
      </c>
    </row>
    <row r="84" spans="2:6">
      <c r="B84" s="48"/>
      <c r="C84" s="10"/>
      <c r="D84" s="29"/>
      <c r="E84" s="27"/>
      <c r="F84" s="30">
        <f>F82-F83</f>
        <v>11851.177991304347</v>
      </c>
    </row>
    <row r="85" spans="2:6">
      <c r="B85" s="48"/>
      <c r="C85" s="10"/>
      <c r="D85" s="29"/>
      <c r="E85" s="27"/>
      <c r="F85" s="53"/>
    </row>
    <row r="86" spans="2:6">
      <c r="B86" s="48" t="s">
        <v>178</v>
      </c>
      <c r="C86" s="42"/>
      <c r="D86" s="56"/>
      <c r="E86" s="57"/>
      <c r="F86" s="44">
        <f>F84+F78+F75+F70</f>
        <v>47613.846665217396</v>
      </c>
    </row>
    <row r="87" spans="2:6">
      <c r="B87" s="8"/>
      <c r="C87" s="10"/>
      <c r="D87" s="29"/>
      <c r="E87" s="27"/>
      <c r="F87" s="28"/>
    </row>
    <row r="88" spans="2:6">
      <c r="B88" s="8" t="s">
        <v>62</v>
      </c>
      <c r="C88" s="10"/>
      <c r="D88" s="29"/>
      <c r="E88" s="27"/>
      <c r="F88" s="50">
        <f>F86*0.15</f>
        <v>7142.0769997826092</v>
      </c>
    </row>
    <row r="89" spans="2:6">
      <c r="B89" s="8"/>
      <c r="C89" s="10"/>
      <c r="D89" s="29"/>
      <c r="E89" s="27"/>
      <c r="F89" s="47"/>
    </row>
    <row r="90" spans="2:6">
      <c r="B90" s="48" t="s">
        <v>63</v>
      </c>
      <c r="C90" s="10"/>
      <c r="D90" s="29"/>
      <c r="E90" s="27"/>
      <c r="F90" s="51">
        <f>SUM(F86:F89)</f>
        <v>54755.923665000002</v>
      </c>
    </row>
    <row r="91" spans="2:6">
      <c r="B91" s="45"/>
      <c r="C91" s="46"/>
      <c r="D91" s="53"/>
      <c r="E91" s="54"/>
      <c r="F91" s="47"/>
    </row>
    <row r="92" spans="2:6">
      <c r="B92" s="45"/>
      <c r="C92" s="46"/>
      <c r="D92" s="53"/>
      <c r="E92" s="54"/>
      <c r="F92" s="47"/>
    </row>
    <row r="93" spans="2:6">
      <c r="B93" s="176" t="s">
        <v>157</v>
      </c>
      <c r="C93" s="177"/>
      <c r="D93" s="58"/>
      <c r="E93" s="58"/>
      <c r="F93" s="59">
        <f>F40+F51+F62+F90</f>
        <v>886850.92366500001</v>
      </c>
    </row>
    <row r="95" spans="2:6">
      <c r="B95" s="6" t="s">
        <v>50</v>
      </c>
      <c r="C95" s="35"/>
      <c r="D95" s="35"/>
      <c r="E95" s="35"/>
      <c r="F95" s="36"/>
    </row>
    <row r="96" spans="2:6" ht="13.8" customHeight="1">
      <c r="B96" s="8"/>
      <c r="C96" s="10"/>
      <c r="D96" s="10"/>
      <c r="E96" s="10"/>
      <c r="F96" s="28"/>
    </row>
    <row r="97" spans="2:7" ht="15.6" customHeight="1">
      <c r="B97" s="166" t="s">
        <v>103</v>
      </c>
      <c r="C97" s="163"/>
      <c r="D97" s="163"/>
      <c r="E97" s="163"/>
      <c r="F97" s="164"/>
    </row>
    <row r="98" spans="2:7">
      <c r="B98" s="8"/>
      <c r="C98" s="10"/>
      <c r="D98" s="10"/>
      <c r="E98" s="10"/>
      <c r="F98" s="28"/>
    </row>
    <row r="99" spans="2:7" ht="30" customHeight="1">
      <c r="B99" s="174" t="s">
        <v>25</v>
      </c>
      <c r="C99" s="175"/>
      <c r="D99" s="175"/>
      <c r="E99" s="60" t="s">
        <v>26</v>
      </c>
      <c r="F99" s="61" t="s">
        <v>108</v>
      </c>
    </row>
    <row r="100" spans="2:7" ht="15" customHeight="1">
      <c r="B100" s="8"/>
      <c r="C100" s="10"/>
      <c r="D100" s="10"/>
      <c r="E100" s="62"/>
      <c r="F100" s="63"/>
    </row>
    <row r="101" spans="2:7">
      <c r="B101" s="173" t="s">
        <v>104</v>
      </c>
      <c r="C101" s="153"/>
      <c r="D101" s="153"/>
      <c r="E101" s="29">
        <v>3500000</v>
      </c>
      <c r="F101" s="30">
        <f>$E101/$E$105*F$105</f>
        <v>32563.412579911575</v>
      </c>
      <c r="G101" s="5"/>
    </row>
    <row r="102" spans="2:7">
      <c r="B102" s="173" t="s">
        <v>105</v>
      </c>
      <c r="C102" s="153"/>
      <c r="D102" s="153"/>
      <c r="E102" s="29">
        <v>230894.1</v>
      </c>
      <c r="F102" s="30">
        <f>$E102/$E$105*F$105</f>
        <v>2148.1999544478176</v>
      </c>
      <c r="G102" s="5"/>
    </row>
    <row r="103" spans="2:7">
      <c r="B103" s="173" t="s">
        <v>106</v>
      </c>
      <c r="C103" s="153"/>
      <c r="D103" s="153"/>
      <c r="E103" s="29">
        <v>43700</v>
      </c>
      <c r="F103" s="30">
        <f>$E103/$E$105*F$105</f>
        <v>406.57746564061023</v>
      </c>
      <c r="G103" s="5"/>
    </row>
    <row r="104" spans="2:7">
      <c r="B104" s="8"/>
      <c r="C104" s="10"/>
      <c r="D104" s="10"/>
      <c r="E104" s="53"/>
      <c r="F104" s="47"/>
    </row>
    <row r="105" spans="2:7">
      <c r="B105" s="48" t="s">
        <v>107</v>
      </c>
      <c r="C105" s="42"/>
      <c r="D105" s="42"/>
      <c r="E105" s="56">
        <f>SUM(E101:E104)</f>
        <v>3774594.1</v>
      </c>
      <c r="F105" s="44">
        <v>35118.19</v>
      </c>
    </row>
    <row r="106" spans="2:7">
      <c r="B106" s="45"/>
      <c r="C106" s="46"/>
      <c r="D106" s="46"/>
      <c r="E106" s="54"/>
      <c r="F106" s="47"/>
    </row>
    <row r="107" spans="2:7">
      <c r="B107" s="10"/>
      <c r="C107" s="10"/>
      <c r="D107" s="10"/>
      <c r="E107" s="10"/>
      <c r="F107" s="10"/>
    </row>
    <row r="108" spans="2:7">
      <c r="B108" s="167" t="s">
        <v>198</v>
      </c>
      <c r="C108" s="168"/>
      <c r="D108" s="168"/>
      <c r="E108" s="168"/>
      <c r="F108" s="169"/>
    </row>
    <row r="109" spans="2:7">
      <c r="B109" s="170"/>
      <c r="C109" s="171"/>
      <c r="D109" s="171"/>
      <c r="E109" s="171"/>
      <c r="F109" s="172"/>
    </row>
    <row r="111" spans="2:7">
      <c r="B111" s="6" t="s">
        <v>135</v>
      </c>
      <c r="C111" s="35"/>
      <c r="D111" s="35"/>
      <c r="E111" s="35"/>
      <c r="F111" s="36"/>
    </row>
    <row r="112" spans="2:7">
      <c r="B112" s="8"/>
      <c r="C112" s="10"/>
      <c r="D112" s="10"/>
      <c r="E112" s="10"/>
      <c r="F112" s="28"/>
    </row>
    <row r="113" spans="2:6">
      <c r="B113" s="48" t="s">
        <v>136</v>
      </c>
      <c r="C113" s="42"/>
      <c r="D113" s="42"/>
      <c r="E113" s="42"/>
      <c r="F113" s="64"/>
    </row>
    <row r="114" spans="2:6">
      <c r="B114" s="48"/>
      <c r="C114" s="42"/>
      <c r="D114" s="42"/>
      <c r="E114" s="42"/>
      <c r="F114" s="64"/>
    </row>
    <row r="115" spans="2:6">
      <c r="B115" s="22" t="s">
        <v>25</v>
      </c>
      <c r="C115" s="23"/>
      <c r="D115" s="26" t="s">
        <v>137</v>
      </c>
      <c r="E115" s="26" t="s">
        <v>138</v>
      </c>
      <c r="F115" s="26" t="s">
        <v>139</v>
      </c>
    </row>
    <row r="116" spans="2:6">
      <c r="B116" s="8"/>
      <c r="C116" s="10"/>
      <c r="D116" s="27"/>
      <c r="E116" s="27"/>
      <c r="F116" s="27"/>
    </row>
    <row r="117" spans="2:6">
      <c r="B117" s="8" t="s">
        <v>30</v>
      </c>
      <c r="C117" s="10"/>
      <c r="D117" s="146">
        <f>'EC Asset 1'!D10</f>
        <v>1186956.5217391304</v>
      </c>
      <c r="E117" s="146">
        <f>'EC Asset 1'!D29</f>
        <v>99919.843601627421</v>
      </c>
      <c r="F117" s="146">
        <f>D117-E117</f>
        <v>1087036.6781375029</v>
      </c>
    </row>
    <row r="118" spans="2:6">
      <c r="B118" s="8" t="s">
        <v>31</v>
      </c>
      <c r="C118" s="10"/>
      <c r="D118" s="146">
        <f>'EC Asset 2'!D11</f>
        <v>456521.73913043475</v>
      </c>
      <c r="E118" s="146">
        <f>'EC Asset 2'!D34</f>
        <v>61120.119179945505</v>
      </c>
      <c r="F118" s="146">
        <f t="shared" ref="F118:F120" si="1">D118-E118</f>
        <v>395401.61995048926</v>
      </c>
    </row>
    <row r="119" spans="2:6">
      <c r="B119" s="8" t="s">
        <v>32</v>
      </c>
      <c r="C119" s="10"/>
      <c r="D119" s="146">
        <f>'EC Asset 3'!D11</f>
        <v>150000</v>
      </c>
      <c r="E119" s="146">
        <f>'EC Asset 3'!D25</f>
        <v>17460.48847712874</v>
      </c>
      <c r="F119" s="146">
        <f t="shared" si="1"/>
        <v>132539.51152287127</v>
      </c>
    </row>
    <row r="120" spans="2:6">
      <c r="B120" s="8" t="s">
        <v>33</v>
      </c>
      <c r="C120" s="10"/>
      <c r="D120" s="146">
        <f>'Free residue'!D17</f>
        <v>51583.155652173918</v>
      </c>
      <c r="E120" s="146">
        <f>'Free residue'!D52</f>
        <v>11359.293132385304</v>
      </c>
      <c r="F120" s="146">
        <f t="shared" si="1"/>
        <v>40223.862519788614</v>
      </c>
    </row>
    <row r="121" spans="2:6">
      <c r="B121" s="8"/>
      <c r="C121" s="10"/>
      <c r="D121" s="27"/>
      <c r="E121" s="27"/>
      <c r="F121" s="54"/>
    </row>
    <row r="122" spans="2:6">
      <c r="B122" s="22" t="s">
        <v>107</v>
      </c>
      <c r="C122" s="65"/>
      <c r="D122" s="147">
        <f>SUM(D117:D121)</f>
        <v>1845061.4165217392</v>
      </c>
      <c r="E122" s="147">
        <f>SUM(E117:E121)</f>
        <v>189859.74439108695</v>
      </c>
      <c r="F122" s="66">
        <f>SUM(F117:F121)</f>
        <v>1655201.672130652</v>
      </c>
    </row>
    <row r="123" spans="2:6">
      <c r="B123" s="45"/>
      <c r="C123" s="46"/>
      <c r="D123" s="46"/>
      <c r="E123" s="46"/>
      <c r="F123" s="47"/>
    </row>
  </sheetData>
  <mergeCells count="9">
    <mergeCell ref="B108:F109"/>
    <mergeCell ref="B103:D103"/>
    <mergeCell ref="B99:D99"/>
    <mergeCell ref="B93:C93"/>
    <mergeCell ref="B4:F4"/>
    <mergeCell ref="B29:F29"/>
    <mergeCell ref="B97:F97"/>
    <mergeCell ref="B101:D101"/>
    <mergeCell ref="B102:D102"/>
  </mergeCells>
  <pageMargins left="0.70866141732283472" right="0.70866141732283472" top="0.74803149606299213" bottom="0.74803149606299213" header="0.31496062992125984" footer="0.31496062992125984"/>
  <pageSetup scale="99" orientation="portrait" r:id="rId1"/>
  <headerFooter>
    <oddFooter xml:space="preserve">&amp;L202324-1083.Paper2Summative&amp;RPage &amp;P of &amp;N </oddFooter>
  </headerFooter>
  <rowBreaks count="3" manualBreakCount="3">
    <brk id="27" max="5" man="1"/>
    <brk id="64" max="5" man="1"/>
    <brk id="9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0728-9FD1-4D5D-AE86-E38CD1B05A59}">
  <dimension ref="A1:J56"/>
  <sheetViews>
    <sheetView topLeftCell="A34" zoomScaleNormal="100" workbookViewId="0">
      <selection activeCell="I45" sqref="I45"/>
    </sheetView>
  </sheetViews>
  <sheetFormatPr defaultRowHeight="13.2"/>
  <cols>
    <col min="1" max="1" width="9.109375" style="3" customWidth="1"/>
    <col min="2" max="2" width="26.5546875" style="3" customWidth="1"/>
    <col min="3" max="4" width="19.77734375" style="2" bestFit="1" customWidth="1"/>
    <col min="5" max="5" width="15.88671875" style="2" bestFit="1" customWidth="1"/>
    <col min="6" max="6" width="18.21875" style="2" bestFit="1" customWidth="1"/>
    <col min="7" max="7" width="18.77734375" style="2" bestFit="1" customWidth="1"/>
    <col min="8" max="8" width="2.6640625" style="2" customWidth="1"/>
    <col min="9" max="9" width="16.21875" style="2" bestFit="1" customWidth="1"/>
    <col min="10" max="16384" width="8.88671875" style="3"/>
  </cols>
  <sheetData>
    <row r="1" spans="1:10">
      <c r="A1" s="1" t="s">
        <v>95</v>
      </c>
    </row>
    <row r="3" spans="1:10">
      <c r="A3" s="1" t="s">
        <v>0</v>
      </c>
    </row>
    <row r="5" spans="1:10" ht="48.6" customHeight="1">
      <c r="A5" s="125" t="s">
        <v>197</v>
      </c>
      <c r="B5" s="126" t="s">
        <v>1</v>
      </c>
      <c r="C5" s="127" t="s">
        <v>2</v>
      </c>
      <c r="D5" s="127" t="s">
        <v>3</v>
      </c>
      <c r="E5" s="127" t="s">
        <v>4</v>
      </c>
      <c r="F5" s="127" t="s">
        <v>5</v>
      </c>
      <c r="G5" s="127" t="s">
        <v>7</v>
      </c>
      <c r="H5" s="128"/>
      <c r="I5" s="127" t="s">
        <v>6</v>
      </c>
      <c r="J5" s="67"/>
    </row>
    <row r="6" spans="1:10">
      <c r="A6" s="27"/>
      <c r="B6" s="27"/>
      <c r="C6" s="29"/>
      <c r="D6" s="29"/>
      <c r="E6" s="29"/>
      <c r="F6" s="29"/>
      <c r="G6" s="29"/>
      <c r="H6" s="99"/>
      <c r="I6" s="29"/>
    </row>
    <row r="7" spans="1:10">
      <c r="A7" s="52">
        <v>1</v>
      </c>
      <c r="B7" s="52" t="s">
        <v>65</v>
      </c>
      <c r="C7" s="75">
        <f>'EC Asset 1'!C37</f>
        <v>8946765.3200000003</v>
      </c>
      <c r="D7" s="75"/>
      <c r="E7" s="75"/>
      <c r="F7" s="75"/>
      <c r="G7" s="75"/>
      <c r="H7" s="122"/>
      <c r="I7" s="75"/>
    </row>
    <row r="8" spans="1:10">
      <c r="A8" s="27"/>
      <c r="B8" s="27"/>
      <c r="C8" s="29" t="str">
        <f>'EC Asset 1'!B37</f>
        <v>Capital</v>
      </c>
      <c r="D8" s="29"/>
      <c r="E8" s="29"/>
      <c r="F8" s="29"/>
      <c r="G8" s="29"/>
      <c r="H8" s="37"/>
      <c r="I8" s="29"/>
    </row>
    <row r="9" spans="1:10">
      <c r="A9" s="27"/>
      <c r="B9" s="27"/>
      <c r="C9" s="29">
        <f>'EC Asset 1'!C38</f>
        <v>665737.38655123301</v>
      </c>
      <c r="D9" s="29"/>
      <c r="E9" s="29"/>
      <c r="F9" s="29"/>
      <c r="G9" s="29"/>
      <c r="H9" s="37"/>
      <c r="I9" s="29"/>
    </row>
    <row r="10" spans="1:10">
      <c r="A10" s="54"/>
      <c r="B10" s="54"/>
      <c r="C10" s="53" t="s">
        <v>67</v>
      </c>
      <c r="D10" s="53">
        <v>6946200.7178378832</v>
      </c>
      <c r="E10" s="53">
        <v>0</v>
      </c>
      <c r="F10" s="53">
        <v>0</v>
      </c>
      <c r="G10" s="53">
        <v>6946200.7178378832</v>
      </c>
      <c r="H10" s="38"/>
      <c r="I10" s="53">
        <v>0</v>
      </c>
    </row>
    <row r="11" spans="1:10">
      <c r="A11" s="52"/>
      <c r="B11" s="52"/>
      <c r="C11" s="75"/>
      <c r="D11" s="75"/>
      <c r="E11" s="75"/>
      <c r="F11" s="75"/>
      <c r="G11" s="75"/>
      <c r="H11" s="122"/>
      <c r="I11" s="75"/>
    </row>
    <row r="12" spans="1:10">
      <c r="A12" s="27">
        <v>2</v>
      </c>
      <c r="B12" s="27" t="s">
        <v>109</v>
      </c>
      <c r="C12" s="29">
        <f>'EC Asset 2'!C42</f>
        <v>3203046.89</v>
      </c>
      <c r="D12" s="29"/>
      <c r="E12" s="29"/>
      <c r="F12" s="29"/>
      <c r="G12" s="29"/>
      <c r="H12" s="37"/>
      <c r="I12" s="29"/>
    </row>
    <row r="13" spans="1:10">
      <c r="A13" s="27"/>
      <c r="B13" s="27"/>
      <c r="C13" s="29" t="s">
        <v>66</v>
      </c>
      <c r="D13" s="29"/>
      <c r="E13" s="29"/>
      <c r="F13" s="29"/>
      <c r="G13" s="29"/>
      <c r="H13" s="37"/>
      <c r="I13" s="29"/>
    </row>
    <row r="14" spans="1:10">
      <c r="A14" s="27"/>
      <c r="B14" s="27"/>
      <c r="C14" s="29">
        <f>'EC Asset 2'!C43</f>
        <v>280902.82451753423</v>
      </c>
      <c r="D14" s="29"/>
      <c r="E14" s="29"/>
      <c r="F14" s="29"/>
      <c r="G14" s="29"/>
      <c r="H14" s="37"/>
      <c r="I14" s="29"/>
    </row>
    <row r="15" spans="1:10">
      <c r="A15" s="27"/>
      <c r="B15" s="27"/>
      <c r="C15" s="29" t="s">
        <v>67</v>
      </c>
      <c r="D15" s="29">
        <f>'EC Asset 2'!E40</f>
        <v>2568390.4266909016</v>
      </c>
      <c r="E15" s="29"/>
      <c r="F15" s="29">
        <f>'EC Asset 2'!C77</f>
        <v>915559.28782663262</v>
      </c>
      <c r="G15" s="29">
        <f>D15</f>
        <v>2568390.4266909016</v>
      </c>
      <c r="H15" s="37"/>
      <c r="I15" s="29">
        <f>F15/$F$45*$I$45</f>
        <v>92939.085483828603</v>
      </c>
    </row>
    <row r="16" spans="1:10">
      <c r="A16" s="54"/>
      <c r="B16" s="54"/>
      <c r="C16" s="53"/>
      <c r="D16" s="53"/>
      <c r="E16" s="53"/>
      <c r="F16" s="53"/>
      <c r="G16" s="53"/>
      <c r="H16" s="38"/>
      <c r="I16" s="53"/>
    </row>
    <row r="17" spans="1:9">
      <c r="A17" s="52">
        <v>3</v>
      </c>
      <c r="B17" s="52" t="s">
        <v>140</v>
      </c>
      <c r="C17" s="75">
        <v>17410.61</v>
      </c>
      <c r="D17" s="75"/>
      <c r="E17" s="75"/>
      <c r="F17" s="75">
        <v>17410.61</v>
      </c>
      <c r="G17" s="75"/>
      <c r="H17" s="122"/>
      <c r="I17" s="29">
        <f>F17/$F$45*$I$45</f>
        <v>1767.3636132912063</v>
      </c>
    </row>
    <row r="18" spans="1:9">
      <c r="A18" s="54"/>
      <c r="B18" s="54"/>
      <c r="C18" s="53"/>
      <c r="D18" s="53"/>
      <c r="E18" s="53"/>
      <c r="F18" s="53"/>
      <c r="G18" s="53"/>
      <c r="H18" s="38"/>
      <c r="I18" s="53"/>
    </row>
    <row r="19" spans="1:9">
      <c r="A19" s="52">
        <v>4</v>
      </c>
      <c r="B19" s="33" t="s">
        <v>118</v>
      </c>
      <c r="C19" s="75">
        <f>'EC Asset 3'!C31</f>
        <v>1261052.55</v>
      </c>
      <c r="D19" s="76"/>
      <c r="E19" s="75"/>
      <c r="F19" s="75"/>
      <c r="G19" s="75"/>
      <c r="H19" s="122"/>
      <c r="I19" s="75"/>
    </row>
    <row r="20" spans="1:9">
      <c r="A20" s="27"/>
      <c r="B20" s="8"/>
      <c r="C20" s="29" t="s">
        <v>66</v>
      </c>
      <c r="D20" s="30"/>
      <c r="E20" s="29"/>
      <c r="F20" s="29"/>
      <c r="G20" s="29"/>
      <c r="H20" s="37"/>
      <c r="I20" s="29"/>
    </row>
    <row r="21" spans="1:9">
      <c r="A21" s="27"/>
      <c r="B21" s="8"/>
      <c r="C21" s="29">
        <f>'EC Asset 3'!C32</f>
        <v>125673.38768835619</v>
      </c>
      <c r="D21" s="30"/>
      <c r="E21" s="29"/>
      <c r="F21" s="29"/>
      <c r="G21" s="29"/>
      <c r="H21" s="37"/>
      <c r="I21" s="29"/>
    </row>
    <row r="22" spans="1:9">
      <c r="A22" s="27"/>
      <c r="B22" s="8"/>
      <c r="C22" s="29" t="s">
        <v>67</v>
      </c>
      <c r="D22" s="30">
        <f>'EC Asset 3'!E29</f>
        <v>861378.6209355566</v>
      </c>
      <c r="E22" s="29"/>
      <c r="F22" s="29">
        <f>'EC Asset 3'!C66</f>
        <v>525347.31675279967</v>
      </c>
      <c r="G22" s="29">
        <f>D22</f>
        <v>861378.6209355566</v>
      </c>
      <c r="H22" s="37"/>
      <c r="I22" s="29">
        <f>F22/$F$45*$I$45</f>
        <v>53328.386080043601</v>
      </c>
    </row>
    <row r="23" spans="1:9">
      <c r="A23" s="54"/>
      <c r="B23" s="45"/>
      <c r="C23" s="53"/>
      <c r="D23" s="40"/>
      <c r="E23" s="53"/>
      <c r="F23" s="53"/>
      <c r="G23" s="53"/>
      <c r="H23" s="38"/>
      <c r="I23" s="53"/>
    </row>
    <row r="24" spans="1:9" ht="14.4" customHeight="1">
      <c r="A24" s="52">
        <v>5</v>
      </c>
      <c r="B24" s="178" t="s">
        <v>133</v>
      </c>
      <c r="C24" s="75">
        <f>'Free residue'!E69</f>
        <v>119345.02</v>
      </c>
      <c r="D24" s="75"/>
      <c r="E24" s="75">
        <f>C24</f>
        <v>119345.02</v>
      </c>
      <c r="F24" s="75"/>
      <c r="G24" s="75">
        <f>C24</f>
        <v>119345.02</v>
      </c>
      <c r="H24" s="122"/>
      <c r="I24" s="75"/>
    </row>
    <row r="25" spans="1:9">
      <c r="A25" s="27"/>
      <c r="B25" s="179"/>
      <c r="C25" s="29"/>
      <c r="D25" s="29"/>
      <c r="E25" s="29"/>
      <c r="F25" s="29"/>
      <c r="G25" s="29"/>
      <c r="H25" s="37"/>
      <c r="I25" s="29"/>
    </row>
    <row r="26" spans="1:9">
      <c r="A26" s="54"/>
      <c r="B26" s="129"/>
      <c r="C26" s="53"/>
      <c r="D26" s="53"/>
      <c r="E26" s="53"/>
      <c r="F26" s="53"/>
      <c r="G26" s="53"/>
      <c r="H26" s="38"/>
      <c r="I26" s="53"/>
    </row>
    <row r="27" spans="1:9" ht="14.4" customHeight="1">
      <c r="A27" s="52">
        <v>6</v>
      </c>
      <c r="B27" s="180" t="s">
        <v>134</v>
      </c>
      <c r="C27" s="75">
        <f>'Free residue'!E71</f>
        <v>17841.62</v>
      </c>
      <c r="D27" s="75"/>
      <c r="E27" s="75">
        <f>C27</f>
        <v>17841.62</v>
      </c>
      <c r="F27" s="75"/>
      <c r="G27" s="75">
        <f>C27</f>
        <v>17841.62</v>
      </c>
      <c r="H27" s="122"/>
      <c r="I27" s="75"/>
    </row>
    <row r="28" spans="1:9">
      <c r="A28" s="27"/>
      <c r="B28" s="181"/>
      <c r="C28" s="29"/>
      <c r="D28" s="29"/>
      <c r="E28" s="29"/>
      <c r="F28" s="29"/>
      <c r="G28" s="29"/>
      <c r="H28" s="37"/>
      <c r="I28" s="29"/>
    </row>
    <row r="29" spans="1:9">
      <c r="A29" s="54"/>
      <c r="B29" s="130"/>
      <c r="C29" s="53"/>
      <c r="D29" s="53"/>
      <c r="E29" s="53"/>
      <c r="F29" s="53"/>
      <c r="G29" s="53"/>
      <c r="H29" s="38"/>
      <c r="I29" s="53"/>
    </row>
    <row r="30" spans="1:9">
      <c r="A30" s="52">
        <v>7</v>
      </c>
      <c r="B30" s="52" t="s">
        <v>141</v>
      </c>
      <c r="C30" s="75">
        <v>3668.29</v>
      </c>
      <c r="D30" s="75"/>
      <c r="E30" s="75"/>
      <c r="F30" s="75">
        <v>3668.29</v>
      </c>
      <c r="G30" s="75"/>
      <c r="H30" s="122"/>
      <c r="I30" s="29">
        <f>F30/$F$45*$I$45</f>
        <v>372.3707709839</v>
      </c>
    </row>
    <row r="31" spans="1:9">
      <c r="A31" s="54"/>
      <c r="B31" s="54"/>
      <c r="C31" s="53"/>
      <c r="D31" s="53"/>
      <c r="E31" s="53"/>
      <c r="F31" s="53"/>
      <c r="G31" s="53"/>
      <c r="H31" s="38"/>
      <c r="I31" s="53"/>
    </row>
    <row r="32" spans="1:9">
      <c r="A32" s="52">
        <v>8</v>
      </c>
      <c r="B32" s="52" t="s">
        <v>142</v>
      </c>
      <c r="C32" s="75">
        <v>54000</v>
      </c>
      <c r="D32" s="75"/>
      <c r="E32" s="75">
        <v>12000</v>
      </c>
      <c r="F32" s="75">
        <f>54000-16000</f>
        <v>38000</v>
      </c>
      <c r="G32" s="75">
        <v>16000</v>
      </c>
      <c r="H32" s="122"/>
      <c r="I32" s="75">
        <f>F32/$F$45*$I$45</f>
        <v>3857.4074834291182</v>
      </c>
    </row>
    <row r="33" spans="1:9">
      <c r="A33" s="27"/>
      <c r="B33" s="27"/>
      <c r="C33" s="29"/>
      <c r="D33" s="29"/>
      <c r="E33" s="29" t="s">
        <v>143</v>
      </c>
      <c r="F33" s="29"/>
      <c r="G33" s="29" t="s">
        <v>145</v>
      </c>
      <c r="H33" s="37"/>
      <c r="I33" s="29"/>
    </row>
    <row r="34" spans="1:9">
      <c r="A34" s="27"/>
      <c r="B34" s="27"/>
      <c r="C34" s="29"/>
      <c r="D34" s="29"/>
      <c r="E34" s="29">
        <v>4000</v>
      </c>
      <c r="F34" s="29"/>
      <c r="G34" s="29"/>
      <c r="H34" s="37"/>
      <c r="I34" s="29"/>
    </row>
    <row r="35" spans="1:9">
      <c r="A35" s="27"/>
      <c r="B35" s="27"/>
      <c r="C35" s="29"/>
      <c r="D35" s="29"/>
      <c r="E35" s="29" t="s">
        <v>144</v>
      </c>
      <c r="F35" s="29"/>
      <c r="G35" s="29"/>
      <c r="H35" s="37"/>
      <c r="I35" s="29"/>
    </row>
    <row r="36" spans="1:9">
      <c r="A36" s="54"/>
      <c r="B36" s="54"/>
      <c r="C36" s="53"/>
      <c r="D36" s="53"/>
      <c r="E36" s="53"/>
      <c r="F36" s="53"/>
      <c r="G36" s="53"/>
      <c r="H36" s="38"/>
      <c r="I36" s="53"/>
    </row>
    <row r="37" spans="1:9">
      <c r="A37" s="52">
        <v>9</v>
      </c>
      <c r="B37" s="52" t="s">
        <v>146</v>
      </c>
      <c r="C37" s="75">
        <v>100000</v>
      </c>
      <c r="D37" s="75"/>
      <c r="E37" s="75"/>
      <c r="F37" s="75">
        <v>100000</v>
      </c>
      <c r="G37" s="75"/>
      <c r="H37" s="122"/>
      <c r="I37" s="29">
        <f>F37/$F$45*$I$45</f>
        <v>10151.072324813469</v>
      </c>
    </row>
    <row r="38" spans="1:9">
      <c r="A38" s="54"/>
      <c r="B38" s="54"/>
      <c r="C38" s="53"/>
      <c r="D38" s="53"/>
      <c r="E38" s="53"/>
      <c r="F38" s="53"/>
      <c r="G38" s="53"/>
      <c r="H38" s="38"/>
      <c r="I38" s="53"/>
    </row>
    <row r="39" spans="1:9">
      <c r="A39" s="52">
        <v>10</v>
      </c>
      <c r="B39" s="52" t="s">
        <v>147</v>
      </c>
      <c r="C39" s="75">
        <v>72000</v>
      </c>
      <c r="D39" s="75"/>
      <c r="E39" s="75"/>
      <c r="F39" s="75">
        <v>72000</v>
      </c>
      <c r="G39" s="75"/>
      <c r="H39" s="122"/>
      <c r="I39" s="29">
        <f>F39/$F$45*$I$45</f>
        <v>7308.7720738656972</v>
      </c>
    </row>
    <row r="40" spans="1:9">
      <c r="A40" s="54"/>
      <c r="B40" s="54"/>
      <c r="C40" s="53"/>
      <c r="D40" s="53"/>
      <c r="E40" s="53"/>
      <c r="F40" s="53"/>
      <c r="G40" s="53"/>
      <c r="H40" s="38"/>
      <c r="I40" s="53"/>
    </row>
    <row r="41" spans="1:9">
      <c r="A41" s="52">
        <v>11</v>
      </c>
      <c r="B41" s="52" t="s">
        <v>148</v>
      </c>
      <c r="C41" s="75">
        <v>12000</v>
      </c>
      <c r="D41" s="75"/>
      <c r="E41" s="75">
        <v>9000</v>
      </c>
      <c r="F41" s="75">
        <v>3000</v>
      </c>
      <c r="G41" s="75">
        <v>9000</v>
      </c>
      <c r="H41" s="122"/>
      <c r="I41" s="29">
        <f>F41/$F$45*$I$45</f>
        <v>304.53216974440403</v>
      </c>
    </row>
    <row r="42" spans="1:9">
      <c r="A42" s="27"/>
      <c r="B42" s="27"/>
      <c r="C42" s="29"/>
      <c r="D42" s="29"/>
      <c r="E42" s="29" t="s">
        <v>143</v>
      </c>
      <c r="F42" s="29"/>
      <c r="G42" s="29" t="s">
        <v>145</v>
      </c>
      <c r="H42" s="37"/>
      <c r="I42" s="29"/>
    </row>
    <row r="43" spans="1:9">
      <c r="A43" s="54"/>
      <c r="B43" s="54"/>
      <c r="C43" s="53"/>
      <c r="D43" s="53"/>
      <c r="E43" s="53"/>
      <c r="F43" s="53"/>
      <c r="G43" s="53"/>
      <c r="H43" s="38"/>
      <c r="I43" s="53"/>
    </row>
    <row r="44" spans="1:9">
      <c r="A44" s="27"/>
      <c r="B44" s="27"/>
      <c r="C44" s="29"/>
      <c r="D44" s="29"/>
      <c r="E44" s="29"/>
      <c r="F44" s="29"/>
      <c r="G44" s="29"/>
      <c r="H44" s="99"/>
      <c r="I44" s="29"/>
    </row>
    <row r="45" spans="1:9">
      <c r="A45" s="54"/>
      <c r="B45" s="131" t="s">
        <v>35</v>
      </c>
      <c r="C45" s="78">
        <f>SUM(C6:C44)</f>
        <v>14879443.898757122</v>
      </c>
      <c r="D45" s="78">
        <f>SUM(D6:D44)</f>
        <v>10375969.765464341</v>
      </c>
      <c r="E45" s="78">
        <f>SUM(E6:E44)</f>
        <v>162186.64000000001</v>
      </c>
      <c r="F45" s="78">
        <f>SUM(F6:F44)</f>
        <v>1674985.5045794323</v>
      </c>
      <c r="G45" s="78">
        <f>SUM(G6:G44)</f>
        <v>10538156.40546434</v>
      </c>
      <c r="H45" s="132"/>
      <c r="I45" s="78">
        <f>'BANK RECON'!C39</f>
        <v>170028.99</v>
      </c>
    </row>
    <row r="47" spans="1:9">
      <c r="B47" s="182" t="s">
        <v>179</v>
      </c>
      <c r="C47" s="182"/>
      <c r="D47" s="182"/>
      <c r="E47" s="68">
        <f>I45/F45*100</f>
        <v>10.15107232481347</v>
      </c>
    </row>
    <row r="50" spans="2:7">
      <c r="B50" s="1" t="s">
        <v>159</v>
      </c>
    </row>
    <row r="51" spans="2:7">
      <c r="B51" s="69" t="s">
        <v>160</v>
      </c>
      <c r="C51" s="70"/>
      <c r="D51" s="70"/>
      <c r="E51" s="70"/>
      <c r="F51" s="70">
        <f>I45</f>
        <v>170028.99</v>
      </c>
      <c r="G51" s="71" t="s">
        <v>162</v>
      </c>
    </row>
    <row r="52" spans="2:7">
      <c r="B52" s="48" t="s">
        <v>161</v>
      </c>
      <c r="C52" s="43"/>
      <c r="D52" s="43"/>
      <c r="E52" s="43"/>
      <c r="F52" s="43">
        <f>F45</f>
        <v>1674985.5045794323</v>
      </c>
      <c r="G52" s="44" t="s">
        <v>163</v>
      </c>
    </row>
    <row r="53" spans="2:7">
      <c r="B53" s="48"/>
      <c r="C53" s="43"/>
      <c r="D53" s="43"/>
      <c r="E53" s="43"/>
      <c r="F53" s="43"/>
      <c r="G53" s="44"/>
    </row>
    <row r="54" spans="2:7">
      <c r="B54" s="48" t="s">
        <v>180</v>
      </c>
      <c r="C54" s="43"/>
      <c r="D54" s="43"/>
      <c r="E54" s="43" t="s">
        <v>164</v>
      </c>
      <c r="F54" s="43">
        <f>F51/F52</f>
        <v>0.10151072324813469</v>
      </c>
      <c r="G54" s="44"/>
    </row>
    <row r="55" spans="2:7">
      <c r="B55" s="48"/>
      <c r="C55" s="43"/>
      <c r="D55" s="43"/>
      <c r="E55" s="43" t="s">
        <v>165</v>
      </c>
      <c r="F55" s="72">
        <f>F54*100</f>
        <v>10.15107232481347</v>
      </c>
      <c r="G55" s="44"/>
    </row>
    <row r="56" spans="2:7">
      <c r="B56" s="9"/>
      <c r="C56" s="73"/>
      <c r="D56" s="73"/>
      <c r="E56" s="73"/>
      <c r="F56" s="73"/>
      <c r="G56" s="74"/>
    </row>
  </sheetData>
  <mergeCells count="3">
    <mergeCell ref="B24:B25"/>
    <mergeCell ref="B27:B28"/>
    <mergeCell ref="B47:D47"/>
  </mergeCells>
  <pageMargins left="0.70866141732283472" right="0.70866141732283472" top="0.74803149606299213" bottom="0.74803149606299213" header="0.31496062992125984" footer="0.31496062992125984"/>
  <pageSetup scale="82" orientation="landscape" r:id="rId1"/>
  <headerFooter>
    <oddFooter>&amp;L202324-1083.Paper2Summative&amp;RPage &amp;P of &amp;N</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BANK RECON</vt:lpstr>
      <vt:lpstr>EC Asset 1</vt:lpstr>
      <vt:lpstr>EC Asset 2</vt:lpstr>
      <vt:lpstr>EC Asset 3</vt:lpstr>
      <vt:lpstr>Free residue</vt:lpstr>
      <vt:lpstr>Schedule A,B C &amp; D</vt:lpstr>
      <vt:lpstr>DISTRIBUTION</vt:lpstr>
      <vt:lpstr>'EC Asset 3'!Print_Area</vt:lpstr>
      <vt:lpstr>'Free residue'!Print_Area</vt:lpstr>
      <vt:lpstr>'Schedule A,B C &amp; 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Vashen Govender</dc:creator>
  <cp:lastModifiedBy>Vashen Govender</cp:lastModifiedBy>
  <cp:lastPrinted>2023-11-29T09:32:39Z</cp:lastPrinted>
  <dcterms:created xsi:type="dcterms:W3CDTF">2023-11-28T10:40:44Z</dcterms:created>
  <dcterms:modified xsi:type="dcterms:W3CDTF">2023-11-29T09:38:20Z</dcterms:modified>
</cp:coreProperties>
</file>