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forcestaffing-my.sharepoint.com/personal/almadk_huntsattorneys_co_za/Documents/Desktop/"/>
    </mc:Choice>
  </mc:AlternateContent>
  <xr:revisionPtr revIDLastSave="0" documentId="14_{6BB90F8C-93AD-45DE-850A-5B06743F4038}" xr6:coauthVersionLast="47" xr6:coauthVersionMax="47" xr10:uidLastSave="{00000000-0000-0000-0000-000000000000}"/>
  <bookViews>
    <workbookView xWindow="-110" yWindow="-110" windowWidth="19420" windowHeight="10300" tabRatio="904" activeTab="4" xr2:uid="{438598DC-E741-4F62-8A7F-4581F93284E4}"/>
  </bookViews>
  <sheets>
    <sheet name="ENCUMBERED ASS ACC 1" sheetId="1" r:id="rId1"/>
    <sheet name="ENCUMBERED ASSET ACC 2" sheetId="2" r:id="rId2"/>
    <sheet name="ENCUMBERED ASSET ACCOUNT 3" sheetId="6" r:id="rId3"/>
    <sheet name="FREE RESIDUE ACCOUNT" sheetId="3" r:id="rId4"/>
    <sheet name="SCHEDULE A" sheetId="4" r:id="rId5"/>
    <sheet name="SCHEDULE B" sheetId="7" r:id="rId6"/>
    <sheet name="SCHEDULE C" sheetId="5" r:id="rId7"/>
    <sheet name="SCHEDULE D" sheetId="11" r:id="rId8"/>
    <sheet name="DISTRIBUTION ACCOUNT- LIST A" sheetId="8" r:id="rId9"/>
    <sheet name="BANK RECONCILIATION STATEMENT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28" i="9"/>
  <c r="C28" i="9"/>
  <c r="H5" i="8"/>
  <c r="H3" i="8"/>
  <c r="D42" i="3"/>
  <c r="C40" i="3" s="1"/>
  <c r="F10" i="8"/>
  <c r="F5" i="8"/>
  <c r="F29" i="8" s="1"/>
  <c r="F17" i="8"/>
  <c r="C25" i="3"/>
  <c r="C19" i="2"/>
  <c r="C18" i="6"/>
  <c r="C15" i="6"/>
  <c r="D26" i="2"/>
  <c r="C16" i="2"/>
  <c r="D27" i="1"/>
  <c r="D26" i="6"/>
  <c r="B14" i="2"/>
  <c r="D9" i="11"/>
  <c r="D8" i="11"/>
  <c r="D7" i="11"/>
  <c r="D6" i="11"/>
  <c r="D5" i="11"/>
  <c r="C9" i="11"/>
  <c r="B9" i="11"/>
  <c r="B13" i="3"/>
  <c r="B13" i="6"/>
  <c r="B11" i="2"/>
  <c r="D54" i="7"/>
  <c r="D41" i="7"/>
  <c r="D46" i="7"/>
  <c r="D42" i="7"/>
  <c r="D47" i="7"/>
  <c r="D52" i="7"/>
  <c r="D53" i="7" s="1"/>
  <c r="D34" i="7"/>
  <c r="D35" i="7"/>
  <c r="D28" i="7"/>
  <c r="D27" i="7"/>
  <c r="D29" i="7" s="1"/>
  <c r="B12" i="3"/>
  <c r="B13" i="2"/>
  <c r="B10" i="2"/>
  <c r="B12" i="6"/>
  <c r="B15" i="1"/>
  <c r="B13" i="1"/>
  <c r="B12" i="1"/>
  <c r="D22" i="7"/>
  <c r="D23" i="7" s="1"/>
  <c r="D24" i="7" s="1"/>
  <c r="D11" i="7"/>
  <c r="D16" i="7"/>
  <c r="D15" i="7"/>
  <c r="D5" i="7"/>
  <c r="D6" i="7"/>
  <c r="C6" i="5"/>
  <c r="C5" i="5"/>
  <c r="B7" i="5"/>
  <c r="D8" i="4"/>
  <c r="D7" i="4"/>
  <c r="D6" i="4"/>
  <c r="D5" i="4"/>
  <c r="C8" i="4"/>
  <c r="C7" i="4"/>
  <c r="C6" i="4"/>
  <c r="C5" i="4"/>
  <c r="B20" i="4"/>
  <c r="B17" i="4"/>
  <c r="B9" i="4"/>
  <c r="B23" i="3"/>
  <c r="B22" i="3"/>
  <c r="B21" i="3"/>
  <c r="B20" i="3"/>
  <c r="B19" i="3"/>
  <c r="B18" i="3"/>
  <c r="B17" i="3"/>
  <c r="B14" i="3"/>
  <c r="B12" i="2"/>
  <c r="B8" i="1"/>
  <c r="C21" i="1" l="1"/>
  <c r="D43" i="7"/>
  <c r="D48" i="7"/>
  <c r="D36" i="7"/>
  <c r="D37" i="7" s="1"/>
  <c r="D38" i="7" s="1"/>
  <c r="D30" i="7"/>
  <c r="D31" i="7" s="1"/>
  <c r="D17" i="7"/>
  <c r="D10" i="7"/>
  <c r="D12" i="7" s="1"/>
  <c r="D7" i="7"/>
  <c r="XFD26" i="6"/>
  <c r="A17" i="6"/>
  <c r="A15" i="6"/>
  <c r="XFD26" i="2"/>
  <c r="A18" i="2"/>
  <c r="A16" i="2"/>
  <c r="B6" i="2"/>
  <c r="XFD27" i="1"/>
  <c r="B7" i="1" l="1"/>
  <c r="B6" i="1"/>
  <c r="A20" i="1" l="1"/>
  <c r="A18" i="1"/>
</calcChain>
</file>

<file path=xl/sharedStrings.xml><?xml version="1.0" encoding="utf-8"?>
<sst xmlns="http://schemas.openxmlformats.org/spreadsheetml/2006/main" count="240" uniqueCount="179">
  <si>
    <t>NARRATION</t>
  </si>
  <si>
    <t>PAYMENTS</t>
  </si>
  <si>
    <t>RECEIPTS</t>
  </si>
  <si>
    <t>RECEIPTS:</t>
  </si>
  <si>
    <t>PAYMENTS:</t>
  </si>
  <si>
    <t>PRO RATA APPORTIONMENT OF THE MASTER'S FEES AND THE BOND PREMIUM</t>
  </si>
  <si>
    <t>SCHEDULE A</t>
  </si>
  <si>
    <t>ACCOUNT</t>
  </si>
  <si>
    <t>GROSS PROCEEDS</t>
  </si>
  <si>
    <t>MASTER'S FEES</t>
  </si>
  <si>
    <t>BOND PREMIUM</t>
  </si>
  <si>
    <t>TOTALS</t>
  </si>
  <si>
    <t>MATER'S CALCULATION:</t>
  </si>
  <si>
    <t>PRO RATA APPORTIONMENT OF AUCTIONEER'S COMMISSION</t>
  </si>
  <si>
    <t>GROSS PROCEEDS (AUCTION)</t>
  </si>
  <si>
    <t>AUCTIONEERS COMMISSION</t>
  </si>
  <si>
    <t xml:space="preserve">FREE RESIDUE ACCOUNT </t>
  </si>
  <si>
    <t>ENCUMBERED ASSET ACCOUNT NUMBER 1</t>
  </si>
  <si>
    <t>VAT</t>
  </si>
  <si>
    <t>TOTALS:</t>
  </si>
  <si>
    <t>ENCUMBERED ASSET ACCOUNT NUMBER 2</t>
  </si>
  <si>
    <t xml:space="preserve">SCHEDULE B </t>
  </si>
  <si>
    <t>CALCULATION OF LIQUIDATOR'S REMUNERATION IN ACCORDANCE WITH THE SPENDIFF DECISION</t>
  </si>
  <si>
    <t xml:space="preserve">VAT SCHEDULE </t>
  </si>
  <si>
    <t>SCHEDULE D</t>
  </si>
  <si>
    <t>OUTPUT VAT</t>
  </si>
  <si>
    <t>INPUT VAT</t>
  </si>
  <si>
    <t>VAT PAYABLE/(REFUNDABLE)</t>
  </si>
  <si>
    <t>BANK RECONCILIATION STATEMENT</t>
  </si>
  <si>
    <t xml:space="preserve">NARRATION </t>
  </si>
  <si>
    <t xml:space="preserve">PAYMENTS </t>
  </si>
  <si>
    <t xml:space="preserve">RECEIPTS </t>
  </si>
  <si>
    <t>NO.</t>
  </si>
  <si>
    <t>CREDITOR NAME</t>
  </si>
  <si>
    <t>TOTAL CLAIM</t>
  </si>
  <si>
    <t>SECURED CLAIM</t>
  </si>
  <si>
    <t>PREFERRENT CLAIM</t>
  </si>
  <si>
    <t>CONCURRENT CLAIM</t>
  </si>
  <si>
    <t>SECURED /  PREFERRENT AWARD</t>
  </si>
  <si>
    <t>CONCURRENT AWARD</t>
  </si>
  <si>
    <t xml:space="preserve">DISTRIBUTION ACCOUNT - LIST A </t>
  </si>
  <si>
    <t xml:space="preserve">LIST - B </t>
  </si>
  <si>
    <t xml:space="preserve">Encumbered asset account 1 </t>
  </si>
  <si>
    <t>Encumbered asset account 2</t>
  </si>
  <si>
    <t>Encumbered asset account 3</t>
  </si>
  <si>
    <t xml:space="preserve">Free residue account </t>
  </si>
  <si>
    <t>Encumbeed asset account 1</t>
  </si>
  <si>
    <t>Encumbeed asset account 2</t>
  </si>
  <si>
    <t>Encumbeed asset account 3</t>
  </si>
  <si>
    <t>Free residue account</t>
  </si>
  <si>
    <t>Encumbered asset account 1</t>
  </si>
  <si>
    <t>Balance awarded as follows:</t>
  </si>
  <si>
    <t>Preferent Creditors:</t>
  </si>
  <si>
    <t>Concurrent Creditors @ ________ cents in the Rand</t>
  </si>
  <si>
    <t xml:space="preserve">Balance as per bank statement </t>
  </si>
  <si>
    <t>PAYMENTS STILL TO BE MADE:</t>
  </si>
  <si>
    <t>Bond Premium (provision for renewal)</t>
  </si>
  <si>
    <t>Master's Fee</t>
  </si>
  <si>
    <t>Liquidator's remuneration</t>
  </si>
  <si>
    <t>Advertising Costs</t>
  </si>
  <si>
    <t>Bank charges (provision)</t>
  </si>
  <si>
    <t>Postage and petties</t>
  </si>
  <si>
    <t>SARS, for VAT payable per this account</t>
  </si>
  <si>
    <t>AWARD TO CREDITORS STILL TO BE MADE:</t>
  </si>
  <si>
    <t>Free residue:</t>
  </si>
  <si>
    <t>Concurrent creditors</t>
  </si>
  <si>
    <t>Master's fee, pro rata portion as per Schedule A</t>
  </si>
  <si>
    <t>Liquidator's fee as per schedule B</t>
  </si>
  <si>
    <t>SARS, VAT payable as per this account</t>
  </si>
  <si>
    <t>Balance of claim is concurrent in terms of Singer v The Master</t>
  </si>
  <si>
    <t>ENCUMBERED ASSET ACCOUNT NUMBER 3</t>
  </si>
  <si>
    <t>SARS VAT refund as per this account</t>
  </si>
  <si>
    <t>Master's fee, pro rata portion as per schedule A</t>
  </si>
  <si>
    <t>Advertisement expenses:</t>
  </si>
  <si>
    <t>Second(general) meeting</t>
  </si>
  <si>
    <t>Destruction of books and records</t>
  </si>
  <si>
    <t>TOTAL PAYMENTS:</t>
  </si>
  <si>
    <t>Arrear Salary R12 000.00</t>
  </si>
  <si>
    <t>Leave Pay: R4 000.00</t>
  </si>
  <si>
    <t>Gross value of estate:</t>
  </si>
  <si>
    <t>LESS:</t>
  </si>
  <si>
    <t>Divide by R5000.00</t>
  </si>
  <si>
    <t>TOTAL MASTER'S FEE:</t>
  </si>
  <si>
    <t>ENCUMBERED ASSET ACCOUNT 1</t>
  </si>
  <si>
    <t>Fixed Property:</t>
  </si>
  <si>
    <t xml:space="preserve">Fee @ 3% on </t>
  </si>
  <si>
    <r>
      <t xml:space="preserve">LESS </t>
    </r>
    <r>
      <rPr>
        <sz val="11"/>
        <color theme="1"/>
        <rFont val="Avenir Next LT Pro"/>
        <family val="2"/>
      </rPr>
      <t>VAT</t>
    </r>
  </si>
  <si>
    <t>x 15% x 3%</t>
  </si>
  <si>
    <t>Total fee on Fixed Property</t>
  </si>
  <si>
    <t xml:space="preserve">Fee @ 10% on </t>
  </si>
  <si>
    <t>LESS VAT</t>
  </si>
  <si>
    <t>x15% x 10%</t>
  </si>
  <si>
    <t>Fee on Fixed property</t>
  </si>
  <si>
    <t>Plus VAT @ 15% thereon</t>
  </si>
  <si>
    <t>Total fee VAT inclusive</t>
  </si>
  <si>
    <t>ENCUMBERED ASSET ACCOUNT 2</t>
  </si>
  <si>
    <t>Fee @ 10% on:</t>
  </si>
  <si>
    <t>x 15% x 10%</t>
  </si>
  <si>
    <t>Plus VAT @ 15% thereon:</t>
  </si>
  <si>
    <t xml:space="preserve">FREE RESIDUE </t>
  </si>
  <si>
    <t>SCHEDULE C</t>
  </si>
  <si>
    <t>Interest:</t>
  </si>
  <si>
    <t>SARS</t>
  </si>
  <si>
    <t>Proceeds of Portion 8 of the Farm "Valley Grove", Westen Cape, Stellenbosch sold by public auction by Hastings Auctions</t>
  </si>
  <si>
    <t xml:space="preserve">Substantial inventory of bottled wines manufactured by Valley Grove </t>
  </si>
  <si>
    <t>Miscellaneous movable assets and office equiptment found at Valley Grove</t>
  </si>
  <si>
    <t>Western Cape Municipality for arrear rates and taxes</t>
  </si>
  <si>
    <t>Capital Bank Ltd, for first mortgage bond over property:</t>
  </si>
  <si>
    <t>Capital: R 3 203 046.89</t>
  </si>
  <si>
    <t>Capital: R8 946 765.32</t>
  </si>
  <si>
    <t>Interest: R 665 737.39</t>
  </si>
  <si>
    <t>(Interest @ 14% from 05-09-2022 to 17-03-2023 (194 days)</t>
  </si>
  <si>
    <t>PROCEEDS OF BOTTLING PLANT AND EQUIPTMENT, SUBJECT TO SPECIAL NOTARIAL BOND IN FAVOR OF CREDITOR NUMBER 2, HARVEST FINANCE LTD</t>
  </si>
  <si>
    <t xml:space="preserve">Proceeds of Bottling Plant and Equiptment sold by public auction by Hastings Auctions </t>
  </si>
  <si>
    <t xml:space="preserve">GrapeFlow Bottling Solutions for repairs to the bottling plant </t>
  </si>
  <si>
    <t>Harvest Finance Ltd, for General Notarial Bond over specified assets:</t>
  </si>
  <si>
    <t>(Interest @ 16.5% from 05-09-2022 to 17-03-2023 (194 days)</t>
  </si>
  <si>
    <t>Interest: R280 902.82</t>
  </si>
  <si>
    <t>PROCEEDS OF 2019 SELF-PROPELLED GRAPE HARVESTER, SUBJECT TO INSTALLMENT SALE TRASACTION IN FAVOR OF CREDITOR NUMBER 4, AGRITECH FINANCE</t>
  </si>
  <si>
    <t>Proceeds of 2019 Self-propelled grape harvester sold by private treaty</t>
  </si>
  <si>
    <t>Liquidator's fees:</t>
  </si>
  <si>
    <t>AgriTech Finance, for installment sale transaction 2019 Grape Harvester:</t>
  </si>
  <si>
    <t>Capital: R 1 261 052.55</t>
  </si>
  <si>
    <t>(Interest @ 18.75% from 05-09-2022 to 17-03-2023 (194 days)</t>
  </si>
  <si>
    <t>Interest: R125 673.39</t>
  </si>
  <si>
    <t>Proceeds of of Book Debts collected by Sithole and Partners attorneys at the request of the liquidator</t>
  </si>
  <si>
    <t>Proceeds of a quantity of Stella Valley Cabernet grapes harvested</t>
  </si>
  <si>
    <t>Horizon Attorneys, taxed bill of cost re liquidation</t>
  </si>
  <si>
    <t>Wages paid to general labourers</t>
  </si>
  <si>
    <t>Confirmtion of account</t>
  </si>
  <si>
    <t>Inspection of account</t>
  </si>
  <si>
    <t>Trust Bank Ltd: Bank Charges</t>
  </si>
  <si>
    <t xml:space="preserve">Sithole &amp; Partners Attorneys- professional fee for collection of Books Debts </t>
  </si>
  <si>
    <t>Creditor number 5: SARS (S101)</t>
  </si>
  <si>
    <t>Arrear Income Tax prior to liquidation: R17 841.62</t>
  </si>
  <si>
    <t>Arrear VAT prior to liquidation: R119 345.02</t>
  </si>
  <si>
    <t>Thabo Moeng, CR7 (S98A)</t>
  </si>
  <si>
    <t>Sindiwe Mthembu, CR 10 (S98A)</t>
  </si>
  <si>
    <t>Therefore, 2816 x R275</t>
  </si>
  <si>
    <t>Max Master's fee allowed is R275 000.00</t>
  </si>
  <si>
    <t>Miscellaneous movable assets and office equiptment of ValleyGrove</t>
  </si>
  <si>
    <t>Substantial Inventory of Bottled wines of ValleyGrove</t>
  </si>
  <si>
    <t>Total fee on movable assets</t>
  </si>
  <si>
    <t>Total fee on inventory</t>
  </si>
  <si>
    <t>Fee on Movable assets</t>
  </si>
  <si>
    <t>Fee on Inventory</t>
  </si>
  <si>
    <t>Total fees(VAT Excl):</t>
  </si>
  <si>
    <t>GuardianSure Bonds Ltd, pro rata bond of security premium as per schedule A</t>
  </si>
  <si>
    <t>Hastings Auctions, pro rata portion of auctioneer's expenses as per schedule C</t>
  </si>
  <si>
    <t>GuardianSure Bonds Lts, pro rata bond of security premium as per schedule A</t>
  </si>
  <si>
    <t>-</t>
  </si>
  <si>
    <t>ENCUMBERED ASSET ACCOUNT 3</t>
  </si>
  <si>
    <t>Fee @ 10% on Book Debts</t>
  </si>
  <si>
    <t>Fee @ 10% on income of harvest</t>
  </si>
  <si>
    <t>Total fee on Book Debts</t>
  </si>
  <si>
    <t>Total fee on Income</t>
  </si>
  <si>
    <t>Fee on Book Debts</t>
  </si>
  <si>
    <t>Fee on Income</t>
  </si>
  <si>
    <t>Interest calculation is unnecessary as creditor has relied on its security and the balance is insufficient to pay the capital claim</t>
  </si>
  <si>
    <t>Capital Bank Ltd</t>
  </si>
  <si>
    <t>Harvest Finance Ltd</t>
  </si>
  <si>
    <t>Vintech Suppliers Ltd</t>
  </si>
  <si>
    <t>AgriTech Finance</t>
  </si>
  <si>
    <t>Winecraft Essentials Ltd</t>
  </si>
  <si>
    <t>Thabo Moeng</t>
  </si>
  <si>
    <t>David Smith</t>
  </si>
  <si>
    <t>Maria Ndlovu</t>
  </si>
  <si>
    <t>Sindiwe Mthembu</t>
  </si>
  <si>
    <t>(Salary S98A)</t>
  </si>
  <si>
    <t>(Leave pay S98A)</t>
  </si>
  <si>
    <t xml:space="preserve">CONCURRENT DIVIDEND OF R0 CENTS IN THE RAND </t>
  </si>
  <si>
    <t>VALLEYGROVE FARMS (PTY) LTD (IN LIQUIDATION)</t>
  </si>
  <si>
    <t>Encumbered asset account 1 (Cr 1)</t>
  </si>
  <si>
    <t>Encumbered asset account 2 (Cr2)</t>
  </si>
  <si>
    <t>Encumbered asset account 3 (Cr 4)</t>
  </si>
  <si>
    <t>Cr 5</t>
  </si>
  <si>
    <t>Cr 7</t>
  </si>
  <si>
    <t>Cr 10</t>
  </si>
  <si>
    <t>PROCEEDS OF PORTION 8 OF THE FARM "VALLEYGROVE", STELLENBOSCH, WESTERN CAPE, SUBJECT TO FIRST MORTGAGE BOND, IN FAVOR OF CREDITOR NUMBER 1, CAPITAL BANK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</si>
</sst>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44" formatCode="_-&quot;R&quot;* #,##0.00_-;\-&quot;R&quot;* #,##0.00_-;_-&quot;R&quot;* &quot;-&quot;??_-;_-@_-"/>
    <numFmt numFmtId="164" formatCode="_-[$R-1C09]* #,##0.00_-;\-[$R-1C09]* #,##0.00_-;_-[$R-1C09]* &quot;-&quot;??_-;_-@_-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  <font>
      <b/>
      <u/>
      <sz val="11"/>
      <color theme="1"/>
      <name val="Avenir Next LT Pro"/>
      <family val="2"/>
    </font>
    <font>
      <u/>
      <sz val="11"/>
      <color theme="1"/>
      <name val="Avenir Next LT Pro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164" fontId="3" fillId="0" borderId="18" xfId="0" applyNumberFormat="1" applyFont="1" applyBorder="1"/>
    <xf numFmtId="164" fontId="3" fillId="0" borderId="12" xfId="0" applyNumberFormat="1" applyFont="1" applyBorder="1"/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3" fillId="0" borderId="14" xfId="0" applyNumberFormat="1" applyFont="1" applyBorder="1"/>
    <xf numFmtId="0" fontId="3" fillId="0" borderId="13" xfId="0" applyFont="1" applyBorder="1" applyAlignment="1">
      <alignment wrapText="1"/>
    </xf>
    <xf numFmtId="0" fontId="3" fillId="0" borderId="13" xfId="0" applyFont="1" applyBorder="1"/>
    <xf numFmtId="164" fontId="3" fillId="0" borderId="13" xfId="0" applyNumberFormat="1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0" xfId="0" applyFont="1" applyAlignment="1">
      <alignment wrapText="1"/>
    </xf>
    <xf numFmtId="164" fontId="3" fillId="0" borderId="19" xfId="0" applyNumberFormat="1" applyFont="1" applyBorder="1"/>
    <xf numFmtId="0" fontId="2" fillId="0" borderId="2" xfId="0" applyFont="1" applyBorder="1" applyAlignment="1">
      <alignment horizontal="right" wrapText="1"/>
    </xf>
    <xf numFmtId="0" fontId="2" fillId="0" borderId="16" xfId="0" applyFont="1" applyBorder="1"/>
    <xf numFmtId="0" fontId="3" fillId="0" borderId="1" xfId="0" applyFont="1" applyBorder="1"/>
    <xf numFmtId="0" fontId="2" fillId="0" borderId="10" xfId="0" applyFont="1" applyBorder="1" applyAlignment="1">
      <alignment horizontal="right" wrapText="1"/>
    </xf>
    <xf numFmtId="164" fontId="2" fillId="0" borderId="11" xfId="0" applyNumberFormat="1" applyFont="1" applyBorder="1"/>
    <xf numFmtId="164" fontId="2" fillId="0" borderId="12" xfId="0" applyNumberFormat="1" applyFont="1" applyBorder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2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" fillId="0" borderId="0" xfId="0" applyFont="1"/>
    <xf numFmtId="0" fontId="3" fillId="0" borderId="3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44" fontId="3" fillId="0" borderId="0" xfId="0" applyNumberFormat="1" applyFo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3" fillId="0" borderId="3" xfId="0" applyNumberFormat="1" applyFont="1" applyBorder="1"/>
    <xf numFmtId="164" fontId="3" fillId="0" borderId="20" xfId="0" applyNumberFormat="1" applyFont="1" applyBorder="1"/>
    <xf numFmtId="164" fontId="3" fillId="0" borderId="1" xfId="0" applyNumberFormat="1" applyFont="1" applyBorder="1" applyAlignment="1">
      <alignment wrapText="1"/>
    </xf>
    <xf numFmtId="164" fontId="3" fillId="0" borderId="0" xfId="0" applyNumberFormat="1" applyFont="1"/>
    <xf numFmtId="0" fontId="2" fillId="0" borderId="21" xfId="0" applyFont="1" applyBorder="1" applyAlignment="1">
      <alignment wrapText="1"/>
    </xf>
    <xf numFmtId="0" fontId="2" fillId="0" borderId="5" xfId="0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0" fontId="2" fillId="0" borderId="24" xfId="0" applyFont="1" applyBorder="1" applyAlignment="1">
      <alignment horizontal="right" wrapText="1"/>
    </xf>
    <xf numFmtId="0" fontId="2" fillId="0" borderId="25" xfId="0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0" fontId="3" fillId="0" borderId="11" xfId="0" applyFont="1" applyBorder="1"/>
    <xf numFmtId="164" fontId="3" fillId="0" borderId="11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2" fillId="0" borderId="0" xfId="0" applyFont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8" fontId="2" fillId="0" borderId="15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27" xfId="0" applyNumberFormat="1" applyFont="1" applyBorder="1"/>
    <xf numFmtId="164" fontId="2" fillId="0" borderId="3" xfId="0" applyNumberFormat="1" applyFont="1" applyBorder="1"/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3" fillId="0" borderId="28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164" fontId="3" fillId="0" borderId="30" xfId="0" applyNumberFormat="1" applyFont="1" applyBorder="1" applyAlignment="1">
      <alignment wrapText="1"/>
    </xf>
    <xf numFmtId="164" fontId="3" fillId="0" borderId="31" xfId="0" applyNumberFormat="1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164" fontId="3" fillId="0" borderId="28" xfId="0" applyNumberFormat="1" applyFont="1" applyBorder="1" applyAlignment="1">
      <alignment wrapText="1"/>
    </xf>
    <xf numFmtId="164" fontId="3" fillId="0" borderId="33" xfId="0" applyNumberFormat="1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0" fontId="2" fillId="0" borderId="5" xfId="0" applyFont="1" applyBorder="1" applyAlignment="1">
      <alignment horizontal="left" vertical="top"/>
    </xf>
    <xf numFmtId="0" fontId="3" fillId="0" borderId="14" xfId="0" applyFont="1" applyBorder="1" applyAlignment="1">
      <alignment vertical="top" wrapText="1"/>
    </xf>
    <xf numFmtId="44" fontId="3" fillId="0" borderId="1" xfId="0" applyNumberFormat="1" applyFont="1" applyBorder="1" applyAlignment="1">
      <alignment wrapText="1"/>
    </xf>
    <xf numFmtId="44" fontId="3" fillId="0" borderId="13" xfId="0" applyNumberFormat="1" applyFont="1" applyBorder="1" applyAlignment="1">
      <alignment wrapText="1"/>
    </xf>
    <xf numFmtId="0" fontId="3" fillId="0" borderId="1" xfId="0" applyNumberFormat="1" applyFont="1" applyBorder="1"/>
    <xf numFmtId="44" fontId="2" fillId="0" borderId="16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2" fillId="0" borderId="13" xfId="0" applyFont="1" applyBorder="1"/>
    <xf numFmtId="164" fontId="3" fillId="0" borderId="35" xfId="0" applyNumberFormat="1" applyFont="1" applyBorder="1"/>
    <xf numFmtId="164" fontId="2" fillId="0" borderId="2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164" fontId="3" fillId="0" borderId="0" xfId="0" applyNumberFormat="1" applyFont="1" applyBorder="1"/>
    <xf numFmtId="0" fontId="2" fillId="0" borderId="10" xfId="0" applyFont="1" applyBorder="1"/>
    <xf numFmtId="164" fontId="3" fillId="0" borderId="36" xfId="0" applyNumberFormat="1" applyFont="1" applyBorder="1"/>
    <xf numFmtId="164" fontId="2" fillId="0" borderId="36" xfId="0" applyNumberFormat="1" applyFont="1" applyBorder="1"/>
    <xf numFmtId="2" fontId="3" fillId="0" borderId="13" xfId="0" applyNumberFormat="1" applyFont="1" applyBorder="1"/>
    <xf numFmtId="0" fontId="3" fillId="0" borderId="16" xfId="0" applyFont="1" applyBorder="1"/>
    <xf numFmtId="164" fontId="2" fillId="0" borderId="18" xfId="0" applyNumberFormat="1" applyFont="1" applyBorder="1"/>
    <xf numFmtId="0" fontId="2" fillId="0" borderId="21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wrapText="1"/>
    </xf>
    <xf numFmtId="164" fontId="3" fillId="0" borderId="26" xfId="0" applyNumberFormat="1" applyFont="1" applyBorder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164" fontId="3" fillId="0" borderId="38" xfId="0" applyNumberFormat="1" applyFont="1" applyBorder="1" applyAlignment="1">
      <alignment wrapText="1"/>
    </xf>
    <xf numFmtId="164" fontId="3" fillId="0" borderId="23" xfId="0" applyNumberFormat="1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3A256-BEF6-44B1-A8F4-8BC39DDA01E2}">
  <dimension ref="A1:XFD27"/>
  <sheetViews>
    <sheetView zoomScale="90" zoomScaleNormal="90" workbookViewId="0">
      <selection activeCell="C19" sqref="C19"/>
    </sheetView>
  </sheetViews>
  <sheetFormatPr defaultColWidth="40.54296875" defaultRowHeight="14.5" x14ac:dyDescent="0.35"/>
  <cols>
    <col min="1" max="1" width="40.54296875" style="21"/>
    <col min="2" max="16384" width="40.54296875" style="1"/>
  </cols>
  <sheetData>
    <row r="1" spans="1:5" ht="29" customHeight="1" thickBot="1" x14ac:dyDescent="0.4">
      <c r="A1" s="57" t="s">
        <v>17</v>
      </c>
      <c r="B1" s="58"/>
      <c r="C1" s="58"/>
      <c r="D1" s="59"/>
    </row>
    <row r="2" spans="1:5" ht="30" customHeight="1" thickBot="1" x14ac:dyDescent="0.4">
      <c r="A2" s="60" t="s">
        <v>178</v>
      </c>
      <c r="B2" s="61"/>
      <c r="C2" s="61"/>
      <c r="D2" s="62"/>
    </row>
    <row r="3" spans="1:5" ht="15" thickBot="1" x14ac:dyDescent="0.4">
      <c r="A3" s="2" t="s">
        <v>0</v>
      </c>
      <c r="B3" s="3" t="s">
        <v>18</v>
      </c>
      <c r="C3" s="4" t="s">
        <v>1</v>
      </c>
      <c r="D3" s="5" t="s">
        <v>2</v>
      </c>
    </row>
    <row r="4" spans="1:5" ht="15" thickBot="1" x14ac:dyDescent="0.4">
      <c r="A4" s="6"/>
      <c r="B4" s="7"/>
      <c r="C4" s="7"/>
      <c r="D4" s="7"/>
    </row>
    <row r="5" spans="1:5" ht="15" thickBot="1" x14ac:dyDescent="0.4">
      <c r="A5" s="8" t="s">
        <v>3</v>
      </c>
      <c r="B5" s="136"/>
      <c r="C5" s="88"/>
      <c r="D5" s="89"/>
    </row>
    <row r="6" spans="1:5" ht="43.5" x14ac:dyDescent="0.35">
      <c r="A6" s="12" t="s">
        <v>103</v>
      </c>
      <c r="B6" s="84">
        <f>SUM(D6*15/115)</f>
        <v>1186956.5217391304</v>
      </c>
      <c r="C6" s="20"/>
      <c r="D6" s="20">
        <v>9100000</v>
      </c>
    </row>
    <row r="7" spans="1:5" ht="29" x14ac:dyDescent="0.35">
      <c r="A7" s="54" t="s">
        <v>104</v>
      </c>
      <c r="B7" s="84">
        <f>SUM(D7*15/115)</f>
        <v>30116.621739130434</v>
      </c>
      <c r="C7" s="20"/>
      <c r="D7" s="20">
        <v>230894.1</v>
      </c>
    </row>
    <row r="8" spans="1:5" ht="29" x14ac:dyDescent="0.35">
      <c r="A8" s="137" t="s">
        <v>105</v>
      </c>
      <c r="B8" s="135">
        <f>SUM(D8*15/115)</f>
        <v>5700</v>
      </c>
      <c r="C8" s="17"/>
      <c r="D8" s="17">
        <v>43700</v>
      </c>
    </row>
    <row r="9" spans="1:5" ht="15" thickBot="1" x14ac:dyDescent="0.4">
      <c r="A9" s="15"/>
      <c r="B9" s="16"/>
      <c r="C9" s="17"/>
      <c r="D9" s="17"/>
    </row>
    <row r="10" spans="1:5" ht="15" thickBot="1" x14ac:dyDescent="0.4">
      <c r="A10" s="8" t="s">
        <v>4</v>
      </c>
      <c r="B10" s="9"/>
      <c r="C10" s="10"/>
      <c r="D10" s="11"/>
    </row>
    <row r="11" spans="1:5" ht="29" x14ac:dyDescent="0.35">
      <c r="A11" s="12" t="s">
        <v>66</v>
      </c>
      <c r="B11" s="82">
        <v>0</v>
      </c>
      <c r="C11" s="13">
        <v>181118.16</v>
      </c>
      <c r="D11" s="13"/>
    </row>
    <row r="12" spans="1:5" ht="29" x14ac:dyDescent="0.35">
      <c r="A12" s="19" t="s">
        <v>147</v>
      </c>
      <c r="B12" s="84">
        <f>SUM(C12*15/115)</f>
        <v>4467.1043478260872</v>
      </c>
      <c r="C12" s="20">
        <v>34247.800000000003</v>
      </c>
      <c r="D12" s="20"/>
    </row>
    <row r="13" spans="1:5" x14ac:dyDescent="0.35">
      <c r="A13" s="19" t="s">
        <v>67</v>
      </c>
      <c r="B13" s="84">
        <f>SUM(C13*15/115)</f>
        <v>44187.129130434776</v>
      </c>
      <c r="C13" s="20">
        <v>338767.99</v>
      </c>
      <c r="D13" s="20"/>
    </row>
    <row r="14" spans="1:5" ht="29" x14ac:dyDescent="0.35">
      <c r="A14" s="19" t="s">
        <v>106</v>
      </c>
      <c r="B14" s="84"/>
      <c r="C14" s="20">
        <v>124897.5</v>
      </c>
      <c r="D14" s="20"/>
    </row>
    <row r="15" spans="1:5" ht="29" x14ac:dyDescent="0.35">
      <c r="A15" s="19" t="s">
        <v>148</v>
      </c>
      <c r="B15" s="84">
        <f>SUM(C15*15/115)</f>
        <v>3335.3739130434783</v>
      </c>
      <c r="C15" s="20">
        <v>25571.200000000001</v>
      </c>
      <c r="D15" s="20"/>
      <c r="E15" s="41"/>
    </row>
    <row r="16" spans="1:5" x14ac:dyDescent="0.35">
      <c r="A16" s="19" t="s">
        <v>68</v>
      </c>
      <c r="B16" s="84"/>
      <c r="C16" s="20">
        <v>1170783.53</v>
      </c>
      <c r="D16" s="20"/>
    </row>
    <row r="17" spans="1:4 16384:16384" ht="15" thickBot="1" x14ac:dyDescent="0.4">
      <c r="C17" s="22"/>
      <c r="D17" s="83"/>
    </row>
    <row r="18" spans="1:4 16384:16384" ht="15" thickBot="1" x14ac:dyDescent="0.4">
      <c r="A18" s="23" t="str">
        <f>PROPER("TOTAL PAYMENTS:")</f>
        <v>Total Payments:</v>
      </c>
      <c r="B18" s="24"/>
      <c r="C18" s="156">
        <f>SUM(C11:C16)</f>
        <v>1875386.18</v>
      </c>
      <c r="D18" s="11"/>
    </row>
    <row r="19" spans="1:4 16384:16384" ht="15" thickBot="1" x14ac:dyDescent="0.4">
      <c r="A19" s="6"/>
      <c r="B19" s="7"/>
      <c r="C19" s="14"/>
      <c r="D19" s="14"/>
    </row>
    <row r="20" spans="1:4 16384:16384" x14ac:dyDescent="0.35">
      <c r="A20" s="86" t="str">
        <f>PROPER("BALANCE AWARDED AS FOLLOWS:")</f>
        <v>Balance Awarded As Follows:</v>
      </c>
      <c r="B20" s="87"/>
      <c r="C20" s="88"/>
      <c r="D20" s="89"/>
    </row>
    <row r="21" spans="1:4 16384:16384" ht="29" x14ac:dyDescent="0.35">
      <c r="A21" s="19" t="s">
        <v>107</v>
      </c>
      <c r="B21" s="25"/>
      <c r="C21" s="20">
        <f>SUM(D27-C18)</f>
        <v>7499207.9199999999</v>
      </c>
      <c r="D21" s="20"/>
    </row>
    <row r="22" spans="1:4 16384:16384" x14ac:dyDescent="0.35">
      <c r="A22" s="19" t="s">
        <v>109</v>
      </c>
      <c r="B22" s="25"/>
      <c r="C22" s="20"/>
      <c r="D22" s="20"/>
    </row>
    <row r="23" spans="1:4 16384:16384" x14ac:dyDescent="0.35">
      <c r="A23" s="19" t="s">
        <v>110</v>
      </c>
      <c r="B23" s="25"/>
      <c r="C23" s="20"/>
      <c r="D23" s="20"/>
    </row>
    <row r="24" spans="1:4 16384:16384" ht="29" x14ac:dyDescent="0.35">
      <c r="A24" s="19" t="s">
        <v>111</v>
      </c>
      <c r="B24" s="25"/>
      <c r="C24" s="20"/>
      <c r="D24" s="20"/>
    </row>
    <row r="25" spans="1:4 16384:16384" ht="58" x14ac:dyDescent="0.35">
      <c r="A25" s="19" t="s">
        <v>158</v>
      </c>
      <c r="B25" s="25"/>
      <c r="C25" s="20"/>
      <c r="D25" s="20"/>
    </row>
    <row r="26" spans="1:4 16384:16384" x14ac:dyDescent="0.35">
      <c r="A26" s="19"/>
      <c r="B26" s="25"/>
      <c r="C26" s="20"/>
      <c r="D26" s="20"/>
    </row>
    <row r="27" spans="1:4 16384:16384" ht="15" thickBot="1" x14ac:dyDescent="0.4">
      <c r="A27" s="90" t="s">
        <v>19</v>
      </c>
      <c r="B27" s="91"/>
      <c r="C27" s="92">
        <v>9374594.0999999996</v>
      </c>
      <c r="D27" s="93">
        <f>SUM(D6:D9)</f>
        <v>9374594.0999999996</v>
      </c>
      <c r="XFD27" s="85">
        <f>SUM(D27:XFC27)</f>
        <v>9374594.0999999996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Footer xml:space="preserve">&amp;C202324-1193.Paper2Formative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F2F5-8711-400B-9B88-C80103661734}">
  <dimension ref="A1:C28"/>
  <sheetViews>
    <sheetView zoomScaleNormal="100" workbookViewId="0">
      <selection activeCell="D5" sqref="D5"/>
    </sheetView>
  </sheetViews>
  <sheetFormatPr defaultColWidth="43.54296875" defaultRowHeight="14.5" x14ac:dyDescent="0.35"/>
  <cols>
    <col min="1" max="1" width="43.54296875" style="1" customWidth="1"/>
    <col min="2" max="16384" width="43.54296875" style="1"/>
  </cols>
  <sheetData>
    <row r="1" spans="1:3" ht="29.5" customHeight="1" thickBot="1" x14ac:dyDescent="0.4">
      <c r="A1" s="79" t="s">
        <v>171</v>
      </c>
      <c r="B1" s="80"/>
      <c r="C1" s="81"/>
    </row>
    <row r="2" spans="1:3" ht="29" customHeight="1" thickBot="1" x14ac:dyDescent="0.4">
      <c r="A2" s="63" t="s">
        <v>28</v>
      </c>
      <c r="B2" s="64"/>
      <c r="C2" s="65"/>
    </row>
    <row r="3" spans="1:3" ht="15" thickBot="1" x14ac:dyDescent="0.4">
      <c r="A3" s="48" t="s">
        <v>29</v>
      </c>
      <c r="B3" s="49" t="s">
        <v>30</v>
      </c>
      <c r="C3" s="50" t="s">
        <v>31</v>
      </c>
    </row>
    <row r="4" spans="1:3" x14ac:dyDescent="0.35">
      <c r="A4" s="18" t="s">
        <v>54</v>
      </c>
      <c r="B4" s="13"/>
      <c r="C4" s="13">
        <v>13552455.810000001</v>
      </c>
    </row>
    <row r="5" spans="1:3" x14ac:dyDescent="0.35">
      <c r="A5" s="18"/>
      <c r="B5" s="13"/>
      <c r="C5" s="13"/>
    </row>
    <row r="6" spans="1:3" x14ac:dyDescent="0.35">
      <c r="A6" s="25"/>
      <c r="B6" s="20"/>
      <c r="C6" s="20"/>
    </row>
    <row r="7" spans="1:3" x14ac:dyDescent="0.35">
      <c r="A7" s="51" t="s">
        <v>55</v>
      </c>
      <c r="B7" s="13"/>
      <c r="C7" s="13"/>
    </row>
    <row r="8" spans="1:3" x14ac:dyDescent="0.35">
      <c r="A8" s="25" t="s">
        <v>56</v>
      </c>
      <c r="B8" s="13">
        <v>26000</v>
      </c>
      <c r="C8" s="13"/>
    </row>
    <row r="9" spans="1:3" x14ac:dyDescent="0.35">
      <c r="A9" s="25" t="s">
        <v>57</v>
      </c>
      <c r="B9" s="13"/>
      <c r="C9" s="13"/>
    </row>
    <row r="10" spans="1:3" x14ac:dyDescent="0.35">
      <c r="A10" s="25" t="s">
        <v>58</v>
      </c>
      <c r="B10" s="13"/>
      <c r="C10" s="13"/>
    </row>
    <row r="11" spans="1:3" x14ac:dyDescent="0.35">
      <c r="A11" s="25" t="s">
        <v>59</v>
      </c>
      <c r="B11" s="13"/>
      <c r="C11" s="13"/>
    </row>
    <row r="12" spans="1:3" x14ac:dyDescent="0.35">
      <c r="A12" s="25" t="s">
        <v>60</v>
      </c>
      <c r="B12" s="13">
        <v>150</v>
      </c>
      <c r="C12" s="13"/>
    </row>
    <row r="13" spans="1:3" x14ac:dyDescent="0.35">
      <c r="A13" s="25" t="s">
        <v>61</v>
      </c>
      <c r="B13" s="13"/>
      <c r="C13" s="13"/>
    </row>
    <row r="14" spans="1:3" x14ac:dyDescent="0.35">
      <c r="A14" s="25" t="s">
        <v>62</v>
      </c>
      <c r="B14" s="13"/>
      <c r="C14" s="13"/>
    </row>
    <row r="15" spans="1:3" x14ac:dyDescent="0.35">
      <c r="A15" s="25"/>
      <c r="B15" s="20"/>
      <c r="C15" s="20"/>
    </row>
    <row r="16" spans="1:3" x14ac:dyDescent="0.35">
      <c r="A16" s="51" t="s">
        <v>63</v>
      </c>
      <c r="B16" s="20"/>
      <c r="C16" s="20"/>
    </row>
    <row r="17" spans="1:3" x14ac:dyDescent="0.35">
      <c r="A17" s="25" t="s">
        <v>172</v>
      </c>
      <c r="B17" s="20">
        <v>7499207.9199999999</v>
      </c>
      <c r="C17" s="20"/>
    </row>
    <row r="18" spans="1:3" x14ac:dyDescent="0.35">
      <c r="A18" s="25" t="s">
        <v>173</v>
      </c>
      <c r="B18" s="20">
        <v>2588404.71</v>
      </c>
      <c r="C18" s="20"/>
    </row>
    <row r="19" spans="1:3" x14ac:dyDescent="0.35">
      <c r="A19" s="25" t="s">
        <v>174</v>
      </c>
      <c r="B19" s="20">
        <v>1009065</v>
      </c>
      <c r="C19" s="20"/>
    </row>
    <row r="20" spans="1:3" x14ac:dyDescent="0.35">
      <c r="A20" s="25"/>
      <c r="B20" s="20"/>
      <c r="C20" s="20"/>
    </row>
    <row r="21" spans="1:3" x14ac:dyDescent="0.35">
      <c r="A21" s="52" t="s">
        <v>64</v>
      </c>
      <c r="B21" s="20"/>
      <c r="C21" s="20"/>
    </row>
    <row r="22" spans="1:3" x14ac:dyDescent="0.35">
      <c r="A22" s="25" t="s">
        <v>175</v>
      </c>
      <c r="B22" s="20">
        <v>137186.64000000001</v>
      </c>
      <c r="C22" s="20"/>
    </row>
    <row r="23" spans="1:3" x14ac:dyDescent="0.35">
      <c r="A23" s="25" t="s">
        <v>176</v>
      </c>
      <c r="B23" s="20">
        <v>54000</v>
      </c>
      <c r="C23" s="20"/>
    </row>
    <row r="24" spans="1:3" x14ac:dyDescent="0.35">
      <c r="A24" s="25" t="s">
        <v>177</v>
      </c>
      <c r="B24" s="20">
        <v>12000</v>
      </c>
      <c r="C24" s="20"/>
    </row>
    <row r="25" spans="1:3" x14ac:dyDescent="0.35">
      <c r="A25" s="25"/>
      <c r="B25" s="20"/>
      <c r="C25" s="20"/>
    </row>
    <row r="26" spans="1:3" x14ac:dyDescent="0.35">
      <c r="A26" s="25" t="s">
        <v>65</v>
      </c>
      <c r="B26" s="20"/>
      <c r="C26" s="20"/>
    </row>
    <row r="27" spans="1:3" x14ac:dyDescent="0.35">
      <c r="A27" s="25"/>
      <c r="B27" s="20"/>
      <c r="C27" s="20"/>
    </row>
    <row r="28" spans="1:3" x14ac:dyDescent="0.35">
      <c r="A28" s="53" t="s">
        <v>11</v>
      </c>
      <c r="B28" s="97">
        <f>SUM(B8:B27)</f>
        <v>11326014.27</v>
      </c>
      <c r="C28" s="97">
        <f>SUM(C4)</f>
        <v>13552455.810000001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  <headerFooter>
    <oddFooter xml:space="preserve">&amp;C202324-1193.Paper2Formative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0FC6-DD2D-4F20-8BAC-3767FACBCDA8}">
  <dimension ref="A1:XFD26"/>
  <sheetViews>
    <sheetView workbookViewId="0">
      <selection activeCell="C19" sqref="C19"/>
    </sheetView>
  </sheetViews>
  <sheetFormatPr defaultColWidth="40.54296875" defaultRowHeight="14.5" x14ac:dyDescent="0.35"/>
  <cols>
    <col min="1" max="1" width="40.54296875" style="21"/>
    <col min="2" max="16384" width="40.54296875" style="1"/>
  </cols>
  <sheetData>
    <row r="1" spans="1:4" ht="29" customHeight="1" thickBot="1" x14ac:dyDescent="0.4">
      <c r="A1" s="57" t="s">
        <v>20</v>
      </c>
      <c r="B1" s="58"/>
      <c r="C1" s="58"/>
      <c r="D1" s="59"/>
    </row>
    <row r="2" spans="1:4" ht="38.5" customHeight="1" thickBot="1" x14ac:dyDescent="0.4">
      <c r="A2" s="60" t="s">
        <v>112</v>
      </c>
      <c r="B2" s="61"/>
      <c r="C2" s="61"/>
      <c r="D2" s="62"/>
    </row>
    <row r="3" spans="1:4" ht="15" thickBot="1" x14ac:dyDescent="0.4">
      <c r="A3" s="2" t="s">
        <v>0</v>
      </c>
      <c r="B3" s="3" t="s">
        <v>18</v>
      </c>
      <c r="C3" s="4" t="s">
        <v>1</v>
      </c>
      <c r="D3" s="5" t="s">
        <v>2</v>
      </c>
    </row>
    <row r="4" spans="1:4" ht="15" thickBot="1" x14ac:dyDescent="0.4">
      <c r="A4" s="6"/>
      <c r="B4" s="7"/>
      <c r="C4" s="7"/>
      <c r="D4" s="7"/>
    </row>
    <row r="5" spans="1:4" ht="15" thickBot="1" x14ac:dyDescent="0.4">
      <c r="A5" s="8" t="s">
        <v>3</v>
      </c>
      <c r="B5" s="9"/>
      <c r="C5" s="10"/>
      <c r="D5" s="11"/>
    </row>
    <row r="6" spans="1:4" ht="43.5" x14ac:dyDescent="0.35">
      <c r="A6" s="12" t="s">
        <v>113</v>
      </c>
      <c r="B6" s="55">
        <f>SUM(D6*15/115)</f>
        <v>456521.73913043475</v>
      </c>
      <c r="C6" s="13"/>
      <c r="D6" s="13">
        <v>3500000</v>
      </c>
    </row>
    <row r="7" spans="1:4" ht="15" thickBot="1" x14ac:dyDescent="0.4">
      <c r="A7" s="15"/>
      <c r="B7" s="16"/>
      <c r="C7" s="17"/>
      <c r="D7" s="17"/>
    </row>
    <row r="8" spans="1:4" ht="15.5" customHeight="1" thickBot="1" x14ac:dyDescent="0.4">
      <c r="A8" s="8" t="s">
        <v>4</v>
      </c>
      <c r="B8" s="9"/>
      <c r="C8" s="10"/>
      <c r="D8" s="11"/>
    </row>
    <row r="9" spans="1:4" ht="29" x14ac:dyDescent="0.35">
      <c r="A9" s="12" t="s">
        <v>66</v>
      </c>
      <c r="B9" s="82">
        <v>0</v>
      </c>
      <c r="C9" s="13">
        <v>67620.37</v>
      </c>
      <c r="D9" s="13"/>
    </row>
    <row r="10" spans="1:4" ht="29" x14ac:dyDescent="0.35">
      <c r="A10" s="19" t="s">
        <v>149</v>
      </c>
      <c r="B10" s="84">
        <f>SUM(C10*15/115)</f>
        <v>1667.7913043478261</v>
      </c>
      <c r="C10" s="20">
        <v>12786.4</v>
      </c>
      <c r="D10" s="20"/>
    </row>
    <row r="11" spans="1:4" x14ac:dyDescent="0.35">
      <c r="A11" s="19" t="s">
        <v>67</v>
      </c>
      <c r="B11" s="84">
        <f>SUM(C11*15/115)</f>
        <v>51472.82608695652</v>
      </c>
      <c r="C11" s="20">
        <v>394625</v>
      </c>
      <c r="D11" s="20"/>
    </row>
    <row r="12" spans="1:4" ht="29" x14ac:dyDescent="0.35">
      <c r="A12" s="19" t="s">
        <v>114</v>
      </c>
      <c r="B12" s="84">
        <f>SUM(C12*15/115)</f>
        <v>3732.1004347826088</v>
      </c>
      <c r="C12" s="20">
        <v>28612.77</v>
      </c>
      <c r="D12" s="20"/>
    </row>
    <row r="13" spans="1:4" ht="29" x14ac:dyDescent="0.35">
      <c r="A13" s="19" t="s">
        <v>148</v>
      </c>
      <c r="B13" s="84">
        <f>SUM(C13*15/115)</f>
        <v>1245.2595652173914</v>
      </c>
      <c r="C13" s="20">
        <v>9546.99</v>
      </c>
      <c r="D13" s="20"/>
    </row>
    <row r="14" spans="1:4" x14ac:dyDescent="0.35">
      <c r="A14" s="19" t="s">
        <v>68</v>
      </c>
      <c r="B14" s="84">
        <f>SUM(C14*15/115)</f>
        <v>51965.70782608696</v>
      </c>
      <c r="C14" s="20">
        <v>398403.76</v>
      </c>
      <c r="D14" s="20"/>
    </row>
    <row r="15" spans="1:4" ht="15" thickBot="1" x14ac:dyDescent="0.4">
      <c r="C15" s="22"/>
      <c r="D15" s="83"/>
    </row>
    <row r="16" spans="1:4" ht="15" thickBot="1" x14ac:dyDescent="0.4">
      <c r="A16" s="23" t="str">
        <f>PROPER("TOTAL PAYMENTS:")</f>
        <v>Total Payments:</v>
      </c>
      <c r="B16" s="24"/>
      <c r="C16" s="156">
        <f>SUM(C9:C14)</f>
        <v>911595.29</v>
      </c>
      <c r="D16" s="11"/>
    </row>
    <row r="17" spans="1:4 16384:16384" ht="15" thickBot="1" x14ac:dyDescent="0.4">
      <c r="A17" s="6"/>
      <c r="B17" s="7"/>
      <c r="C17" s="14"/>
      <c r="D17" s="14"/>
    </row>
    <row r="18" spans="1:4 16384:16384" x14ac:dyDescent="0.35">
      <c r="A18" s="86" t="str">
        <f>PROPER("BALANCE AWARDED AS FOLLOWS:")</f>
        <v>Balance Awarded As Follows:</v>
      </c>
      <c r="B18" s="87"/>
      <c r="C18" s="88"/>
      <c r="D18" s="89"/>
    </row>
    <row r="19" spans="1:4 16384:16384" ht="29" x14ac:dyDescent="0.35">
      <c r="A19" s="19" t="s">
        <v>115</v>
      </c>
      <c r="B19" s="25"/>
      <c r="C19" s="20">
        <f>SUM(D26-C16)</f>
        <v>2588404.71</v>
      </c>
      <c r="D19" s="20"/>
    </row>
    <row r="20" spans="1:4 16384:16384" x14ac:dyDescent="0.35">
      <c r="A20" s="19" t="s">
        <v>108</v>
      </c>
      <c r="B20" s="25"/>
      <c r="C20" s="20"/>
      <c r="D20" s="20"/>
    </row>
    <row r="21" spans="1:4 16384:16384" x14ac:dyDescent="0.35">
      <c r="A21" s="19" t="s">
        <v>117</v>
      </c>
      <c r="B21" s="25"/>
      <c r="C21" s="20"/>
      <c r="D21" s="20"/>
    </row>
    <row r="22" spans="1:4 16384:16384" ht="29" x14ac:dyDescent="0.35">
      <c r="A22" s="19" t="s">
        <v>116</v>
      </c>
      <c r="B22" s="25"/>
      <c r="C22" s="20"/>
      <c r="D22" s="20"/>
    </row>
    <row r="23" spans="1:4 16384:16384" x14ac:dyDescent="0.35">
      <c r="A23" s="19"/>
      <c r="B23" s="25"/>
      <c r="C23" s="20"/>
      <c r="D23" s="20"/>
    </row>
    <row r="24" spans="1:4 16384:16384" ht="29" x14ac:dyDescent="0.35">
      <c r="A24" s="19" t="s">
        <v>69</v>
      </c>
      <c r="B24" s="25"/>
      <c r="C24" s="20"/>
      <c r="D24" s="20"/>
    </row>
    <row r="25" spans="1:4 16384:16384" x14ac:dyDescent="0.35">
      <c r="A25" s="19"/>
      <c r="B25" s="25"/>
      <c r="C25" s="20"/>
      <c r="D25" s="20"/>
    </row>
    <row r="26" spans="1:4 16384:16384" ht="15" thickBot="1" x14ac:dyDescent="0.4">
      <c r="A26" s="90" t="s">
        <v>19</v>
      </c>
      <c r="B26" s="91"/>
      <c r="C26" s="92">
        <v>3500000</v>
      </c>
      <c r="D26" s="93">
        <f>SUM(D6:D7)</f>
        <v>3500000</v>
      </c>
      <c r="XFD26" s="85">
        <f>SUM(D26:XFC26)</f>
        <v>3500000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F274-0F94-4206-BF69-103A9D154DF2}">
  <dimension ref="A1:XFD26"/>
  <sheetViews>
    <sheetView topLeftCell="A12" workbookViewId="0">
      <selection activeCell="C18" sqref="C18"/>
    </sheetView>
  </sheetViews>
  <sheetFormatPr defaultColWidth="40.54296875" defaultRowHeight="14.5" x14ac:dyDescent="0.35"/>
  <cols>
    <col min="1" max="1" width="40.54296875" style="21"/>
    <col min="2" max="16384" width="40.54296875" style="1"/>
  </cols>
  <sheetData>
    <row r="1" spans="1:4" ht="29" customHeight="1" thickBot="1" x14ac:dyDescent="0.4">
      <c r="A1" s="57" t="s">
        <v>70</v>
      </c>
      <c r="B1" s="58"/>
      <c r="C1" s="58"/>
      <c r="D1" s="59"/>
    </row>
    <row r="2" spans="1:4" ht="41.5" customHeight="1" thickBot="1" x14ac:dyDescent="0.4">
      <c r="A2" s="60" t="s">
        <v>118</v>
      </c>
      <c r="B2" s="61"/>
      <c r="C2" s="61"/>
      <c r="D2" s="62"/>
    </row>
    <row r="3" spans="1:4" ht="15" thickBot="1" x14ac:dyDescent="0.4">
      <c r="A3" s="2" t="s">
        <v>0</v>
      </c>
      <c r="B3" s="3" t="s">
        <v>18</v>
      </c>
      <c r="C3" s="4" t="s">
        <v>1</v>
      </c>
      <c r="D3" s="5" t="s">
        <v>2</v>
      </c>
    </row>
    <row r="4" spans="1:4" ht="15" thickBot="1" x14ac:dyDescent="0.4">
      <c r="A4" s="6"/>
      <c r="B4" s="7"/>
      <c r="C4" s="7"/>
      <c r="D4" s="7"/>
    </row>
    <row r="5" spans="1:4" ht="15" thickBot="1" x14ac:dyDescent="0.4">
      <c r="A5" s="157" t="s">
        <v>3</v>
      </c>
      <c r="B5" s="9"/>
      <c r="C5" s="10"/>
      <c r="D5" s="11"/>
    </row>
    <row r="6" spans="1:4" ht="29" x14ac:dyDescent="0.35">
      <c r="A6" s="19" t="s">
        <v>119</v>
      </c>
      <c r="B6" s="55"/>
      <c r="C6" s="13"/>
      <c r="D6" s="13">
        <v>1150000</v>
      </c>
    </row>
    <row r="7" spans="1:4" x14ac:dyDescent="0.35">
      <c r="A7" s="19" t="s">
        <v>71</v>
      </c>
      <c r="B7" s="56"/>
      <c r="C7" s="14"/>
      <c r="D7" s="14">
        <v>17797.990000000002</v>
      </c>
    </row>
    <row r="8" spans="1:4" x14ac:dyDescent="0.35">
      <c r="A8" s="6"/>
      <c r="B8" s="56"/>
      <c r="C8" s="14"/>
      <c r="D8" s="14"/>
    </row>
    <row r="9" spans="1:4" ht="15" thickBot="1" x14ac:dyDescent="0.4">
      <c r="A9" s="15"/>
      <c r="B9" s="16"/>
      <c r="C9" s="17"/>
      <c r="D9" s="17"/>
    </row>
    <row r="10" spans="1:4" ht="15" thickBot="1" x14ac:dyDescent="0.4">
      <c r="A10" s="8" t="s">
        <v>4</v>
      </c>
      <c r="B10" s="9"/>
      <c r="C10" s="10"/>
      <c r="D10" s="11"/>
    </row>
    <row r="11" spans="1:4" ht="29" x14ac:dyDescent="0.35">
      <c r="A11" s="12" t="s">
        <v>66</v>
      </c>
      <c r="B11" s="82">
        <v>0</v>
      </c>
      <c r="C11" s="13">
        <v>22281.119999999999</v>
      </c>
      <c r="D11" s="13"/>
    </row>
    <row r="12" spans="1:4" ht="29" x14ac:dyDescent="0.35">
      <c r="A12" s="19" t="s">
        <v>147</v>
      </c>
      <c r="B12" s="84">
        <f>SUM(C12*15/115)</f>
        <v>547.98782608695649</v>
      </c>
      <c r="C12" s="20">
        <v>4201.24</v>
      </c>
      <c r="D12" s="20"/>
    </row>
    <row r="13" spans="1:4" x14ac:dyDescent="0.35">
      <c r="A13" s="15" t="s">
        <v>120</v>
      </c>
      <c r="B13" s="135">
        <f>SUM(C13*15/115)</f>
        <v>17250</v>
      </c>
      <c r="C13" s="17">
        <v>132250</v>
      </c>
      <c r="D13" s="17"/>
    </row>
    <row r="14" spans="1:4" ht="12.5" customHeight="1" thickBot="1" x14ac:dyDescent="0.4">
      <c r="B14" s="56"/>
      <c r="C14" s="14"/>
      <c r="D14" s="14"/>
    </row>
    <row r="15" spans="1:4" ht="15" thickBot="1" x14ac:dyDescent="0.4">
      <c r="A15" s="23" t="str">
        <f>PROPER("TOTAL PAYMENTS:")</f>
        <v>Total Payments:</v>
      </c>
      <c r="B15" s="155"/>
      <c r="C15" s="156">
        <f>SUM(C11:C14)</f>
        <v>158732.35999999999</v>
      </c>
      <c r="D15" s="11"/>
    </row>
    <row r="16" spans="1:4" x14ac:dyDescent="0.35">
      <c r="A16" s="6"/>
      <c r="B16" s="87"/>
      <c r="C16" s="88"/>
      <c r="D16" s="89"/>
    </row>
    <row r="17" spans="1:4 16384:16384" x14ac:dyDescent="0.35">
      <c r="A17" s="32" t="str">
        <f>PROPER("BALANCE AWARDED AS FOLLOWS:")</f>
        <v>Balance Awarded As Follows:</v>
      </c>
      <c r="B17" s="25"/>
      <c r="C17" s="20"/>
      <c r="D17" s="20"/>
    </row>
    <row r="18" spans="1:4 16384:16384" ht="29" x14ac:dyDescent="0.35">
      <c r="A18" s="19" t="s">
        <v>121</v>
      </c>
      <c r="B18" s="33"/>
      <c r="C18" s="20">
        <f>SUM(D26-C15)</f>
        <v>1009065.63</v>
      </c>
      <c r="D18" s="20"/>
    </row>
    <row r="19" spans="1:4 16384:16384" x14ac:dyDescent="0.35">
      <c r="A19" s="19" t="s">
        <v>122</v>
      </c>
      <c r="B19" s="25"/>
      <c r="C19" s="20"/>
      <c r="D19" s="20"/>
    </row>
    <row r="20" spans="1:4 16384:16384" x14ac:dyDescent="0.35">
      <c r="A20" s="19" t="s">
        <v>124</v>
      </c>
      <c r="B20" s="25"/>
      <c r="C20" s="20"/>
      <c r="D20" s="20"/>
    </row>
    <row r="21" spans="1:4 16384:16384" ht="29" x14ac:dyDescent="0.35">
      <c r="A21" s="19" t="s">
        <v>123</v>
      </c>
      <c r="B21" s="25"/>
      <c r="C21" s="20"/>
      <c r="D21" s="20"/>
    </row>
    <row r="22" spans="1:4 16384:16384" x14ac:dyDescent="0.35">
      <c r="A22" s="19"/>
      <c r="B22" s="25"/>
      <c r="C22" s="20"/>
      <c r="D22" s="20"/>
    </row>
    <row r="23" spans="1:4 16384:16384" ht="29" x14ac:dyDescent="0.35">
      <c r="A23" s="19" t="s">
        <v>69</v>
      </c>
      <c r="B23" s="25"/>
      <c r="C23" s="20"/>
      <c r="D23" s="20"/>
    </row>
    <row r="24" spans="1:4 16384:16384" x14ac:dyDescent="0.35">
      <c r="A24" s="19"/>
      <c r="B24" s="25"/>
      <c r="C24" s="20"/>
      <c r="D24" s="20"/>
    </row>
    <row r="25" spans="1:4 16384:16384" ht="15" thickBot="1" x14ac:dyDescent="0.4">
      <c r="A25" s="90" t="s">
        <v>19</v>
      </c>
      <c r="B25" s="25"/>
      <c r="C25" s="20"/>
      <c r="D25" s="20"/>
    </row>
    <row r="26" spans="1:4 16384:16384" ht="15" thickBot="1" x14ac:dyDescent="0.4">
      <c r="B26" s="91"/>
      <c r="C26" s="92">
        <v>1167797.99</v>
      </c>
      <c r="D26" s="93">
        <f>SUM(D6:D9)</f>
        <v>1167797.99</v>
      </c>
      <c r="XFD26" s="85">
        <f>SUM(D26:XFC26)</f>
        <v>1167797.99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68AD0-D4F0-4FF2-AF30-8869B0F113EC}">
  <dimension ref="A1:D42"/>
  <sheetViews>
    <sheetView topLeftCell="A30" workbookViewId="0">
      <selection activeCell="A33" sqref="A33"/>
    </sheetView>
  </sheetViews>
  <sheetFormatPr defaultColWidth="40.7265625" defaultRowHeight="14.5" x14ac:dyDescent="0.35"/>
  <cols>
    <col min="1" max="1" width="40.7265625" style="21"/>
    <col min="2" max="16384" width="40.7265625" style="1"/>
  </cols>
  <sheetData>
    <row r="1" spans="1:4" ht="28" customHeight="1" thickBot="1" x14ac:dyDescent="0.4">
      <c r="A1" s="63" t="s">
        <v>16</v>
      </c>
      <c r="B1" s="64"/>
      <c r="C1" s="64"/>
      <c r="D1" s="65"/>
    </row>
    <row r="2" spans="1:4" ht="15" thickBot="1" x14ac:dyDescent="0.4"/>
    <row r="3" spans="1:4" ht="15" thickBot="1" x14ac:dyDescent="0.4">
      <c r="A3" s="29" t="s">
        <v>0</v>
      </c>
      <c r="B3" s="30" t="s">
        <v>18</v>
      </c>
      <c r="C3" s="30" t="s">
        <v>1</v>
      </c>
      <c r="D3" s="31" t="s">
        <v>2</v>
      </c>
    </row>
    <row r="4" spans="1:4" x14ac:dyDescent="0.35">
      <c r="A4" s="12"/>
      <c r="B4" s="18"/>
      <c r="C4" s="18"/>
      <c r="D4" s="18"/>
    </row>
    <row r="5" spans="1:4" x14ac:dyDescent="0.35">
      <c r="A5" s="32" t="s">
        <v>2</v>
      </c>
      <c r="B5" s="33"/>
      <c r="C5" s="20"/>
      <c r="D5" s="20"/>
    </row>
    <row r="6" spans="1:4" ht="43.5" x14ac:dyDescent="0.35">
      <c r="A6" s="19" t="s">
        <v>125</v>
      </c>
      <c r="B6" s="147" t="s">
        <v>150</v>
      </c>
      <c r="C6" s="20"/>
      <c r="D6" s="20">
        <v>88405.08</v>
      </c>
    </row>
    <row r="7" spans="1:4" ht="29" x14ac:dyDescent="0.35">
      <c r="A7" s="19" t="s">
        <v>126</v>
      </c>
      <c r="B7" s="148" t="s">
        <v>150</v>
      </c>
      <c r="C7" s="20"/>
      <c r="D7" s="20">
        <v>120876.76</v>
      </c>
    </row>
    <row r="8" spans="1:4" x14ac:dyDescent="0.35">
      <c r="A8" s="19" t="s">
        <v>71</v>
      </c>
      <c r="B8" s="148"/>
      <c r="C8" s="20"/>
      <c r="D8" s="20">
        <v>6892.37</v>
      </c>
    </row>
    <row r="9" spans="1:4" x14ac:dyDescent="0.35">
      <c r="A9" s="19"/>
      <c r="B9" s="25"/>
      <c r="C9" s="20"/>
      <c r="D9" s="20"/>
    </row>
    <row r="10" spans="1:4" x14ac:dyDescent="0.35">
      <c r="A10" s="32" t="s">
        <v>1</v>
      </c>
      <c r="B10" s="33"/>
      <c r="C10" s="20"/>
      <c r="D10" s="20"/>
    </row>
    <row r="11" spans="1:4" ht="29" x14ac:dyDescent="0.35">
      <c r="A11" s="19" t="s">
        <v>72</v>
      </c>
      <c r="B11" s="99">
        <v>0</v>
      </c>
      <c r="C11" s="20">
        <v>4043.35</v>
      </c>
      <c r="D11" s="20"/>
    </row>
    <row r="12" spans="1:4" ht="29" x14ac:dyDescent="0.35">
      <c r="A12" s="19" t="s">
        <v>147</v>
      </c>
      <c r="B12" s="84">
        <f>SUM(C12*15/115)</f>
        <v>99.725217391304341</v>
      </c>
      <c r="C12" s="20">
        <v>764.56</v>
      </c>
      <c r="D12" s="20"/>
    </row>
    <row r="13" spans="1:4" x14ac:dyDescent="0.35">
      <c r="A13" s="19" t="s">
        <v>67</v>
      </c>
      <c r="B13" s="84">
        <f>SUM(C13*15/115)</f>
        <v>3139.2286956521739</v>
      </c>
      <c r="C13" s="20">
        <v>24067.42</v>
      </c>
      <c r="D13" s="20"/>
    </row>
    <row r="14" spans="1:4" ht="29" x14ac:dyDescent="0.35">
      <c r="A14" s="19" t="s">
        <v>127</v>
      </c>
      <c r="B14" s="84">
        <f>SUM(C14*15/115)</f>
        <v>2430.251739130435</v>
      </c>
      <c r="C14" s="20">
        <v>18631.93</v>
      </c>
      <c r="D14" s="20"/>
    </row>
    <row r="15" spans="1:4" x14ac:dyDescent="0.35">
      <c r="A15" s="19" t="s">
        <v>128</v>
      </c>
      <c r="B15" s="84">
        <v>0</v>
      </c>
      <c r="C15" s="20">
        <v>15000</v>
      </c>
      <c r="D15" s="20"/>
    </row>
    <row r="16" spans="1:4" x14ac:dyDescent="0.35">
      <c r="A16" s="19" t="s">
        <v>73</v>
      </c>
      <c r="B16" s="19"/>
      <c r="C16" s="20"/>
      <c r="D16" s="20"/>
    </row>
    <row r="17" spans="1:4" x14ac:dyDescent="0.35">
      <c r="A17" s="19" t="s">
        <v>74</v>
      </c>
      <c r="B17" s="84">
        <f>SUM(C17*15/115)</f>
        <v>120</v>
      </c>
      <c r="C17" s="20">
        <v>920</v>
      </c>
      <c r="D17" s="20"/>
    </row>
    <row r="18" spans="1:4" x14ac:dyDescent="0.35">
      <c r="A18" s="19" t="s">
        <v>130</v>
      </c>
      <c r="B18" s="84">
        <f>SUM(C18*15/115)</f>
        <v>4.9330434782608688</v>
      </c>
      <c r="C18" s="20">
        <v>37.82</v>
      </c>
      <c r="D18" s="20"/>
    </row>
    <row r="19" spans="1:4" x14ac:dyDescent="0.35">
      <c r="A19" s="19" t="s">
        <v>129</v>
      </c>
      <c r="B19" s="84">
        <f>SUM(C19*15/115)</f>
        <v>4.9330434782608688</v>
      </c>
      <c r="C19" s="20">
        <v>37.82</v>
      </c>
      <c r="D19" s="20"/>
    </row>
    <row r="20" spans="1:4" x14ac:dyDescent="0.35">
      <c r="A20" s="19" t="s">
        <v>75</v>
      </c>
      <c r="B20" s="84">
        <f>SUM(C20*15/115)</f>
        <v>4.9330434782608688</v>
      </c>
      <c r="C20" s="20">
        <v>37.82</v>
      </c>
      <c r="D20" s="20"/>
    </row>
    <row r="21" spans="1:4" x14ac:dyDescent="0.35">
      <c r="A21" s="19" t="s">
        <v>131</v>
      </c>
      <c r="B21" s="84">
        <f>SUM(C21*15/115)</f>
        <v>52.173913043478258</v>
      </c>
      <c r="C21" s="20">
        <v>400</v>
      </c>
      <c r="D21" s="20"/>
    </row>
    <row r="22" spans="1:4" x14ac:dyDescent="0.35">
      <c r="A22" s="19" t="s">
        <v>61</v>
      </c>
      <c r="B22" s="138">
        <f>SUM(C22*15/115)</f>
        <v>134.34782608695653</v>
      </c>
      <c r="C22" s="20">
        <v>1030</v>
      </c>
      <c r="D22" s="20"/>
    </row>
    <row r="23" spans="1:4" ht="29" x14ac:dyDescent="0.35">
      <c r="A23" s="15" t="s">
        <v>132</v>
      </c>
      <c r="B23" s="139">
        <f>SUM(C23*15/115)</f>
        <v>901.83913043478265</v>
      </c>
      <c r="C23" s="17">
        <v>6914.1</v>
      </c>
      <c r="D23" s="17"/>
    </row>
    <row r="24" spans="1:4" ht="15" thickBot="1" x14ac:dyDescent="0.4">
      <c r="A24" s="15"/>
      <c r="B24" s="16"/>
      <c r="C24" s="17"/>
      <c r="D24" s="17"/>
    </row>
    <row r="25" spans="1:4" ht="15" thickBot="1" x14ac:dyDescent="0.4">
      <c r="A25" s="26" t="s">
        <v>76</v>
      </c>
      <c r="B25" s="94"/>
      <c r="C25" s="27">
        <f>SUM(C11:C24)</f>
        <v>71884.819999999992</v>
      </c>
      <c r="D25" s="11"/>
    </row>
    <row r="26" spans="1:4" x14ac:dyDescent="0.35">
      <c r="A26" s="12"/>
      <c r="B26" s="18"/>
      <c r="C26" s="13"/>
      <c r="D26" s="13"/>
    </row>
    <row r="27" spans="1:4" x14ac:dyDescent="0.35">
      <c r="A27" s="32" t="s">
        <v>51</v>
      </c>
      <c r="B27" s="19"/>
      <c r="C27" s="20"/>
      <c r="D27" s="20"/>
    </row>
    <row r="28" spans="1:4" x14ac:dyDescent="0.35">
      <c r="A28" s="19" t="s">
        <v>52</v>
      </c>
      <c r="B28" s="19"/>
      <c r="C28" s="20"/>
      <c r="D28" s="20"/>
    </row>
    <row r="29" spans="1:4" x14ac:dyDescent="0.35">
      <c r="A29" s="32" t="s">
        <v>133</v>
      </c>
      <c r="B29" s="25"/>
      <c r="C29" s="20">
        <v>137186.64000000001</v>
      </c>
      <c r="D29" s="20"/>
    </row>
    <row r="30" spans="1:4" ht="29" x14ac:dyDescent="0.35">
      <c r="A30" s="19" t="s">
        <v>135</v>
      </c>
      <c r="B30" s="25"/>
      <c r="C30" s="20"/>
      <c r="D30" s="20"/>
    </row>
    <row r="31" spans="1:4" ht="29" x14ac:dyDescent="0.35">
      <c r="A31" s="19" t="s">
        <v>134</v>
      </c>
      <c r="B31" s="25"/>
      <c r="C31" s="20"/>
      <c r="D31" s="20"/>
    </row>
    <row r="32" spans="1:4" x14ac:dyDescent="0.35">
      <c r="A32" s="19"/>
      <c r="B32" s="19"/>
      <c r="C32" s="20"/>
      <c r="D32" s="20"/>
    </row>
    <row r="33" spans="1:4" x14ac:dyDescent="0.35">
      <c r="A33" s="32" t="s">
        <v>136</v>
      </c>
      <c r="B33" s="19"/>
      <c r="C33" s="20">
        <v>54000</v>
      </c>
      <c r="D33" s="20"/>
    </row>
    <row r="34" spans="1:4" x14ac:dyDescent="0.35">
      <c r="A34" s="19" t="s">
        <v>77</v>
      </c>
      <c r="B34" s="19"/>
      <c r="C34" s="20"/>
      <c r="D34" s="20"/>
    </row>
    <row r="35" spans="1:4" x14ac:dyDescent="0.35">
      <c r="A35" s="19" t="s">
        <v>78</v>
      </c>
      <c r="B35" s="19"/>
      <c r="C35" s="20"/>
      <c r="D35" s="20"/>
    </row>
    <row r="36" spans="1:4" x14ac:dyDescent="0.35">
      <c r="A36" s="19"/>
      <c r="B36" s="19"/>
      <c r="C36" s="20"/>
      <c r="D36" s="20"/>
    </row>
    <row r="37" spans="1:4" x14ac:dyDescent="0.35">
      <c r="A37" s="32" t="s">
        <v>137</v>
      </c>
      <c r="B37" s="19"/>
      <c r="C37" s="20">
        <v>12000</v>
      </c>
      <c r="D37" s="20"/>
    </row>
    <row r="38" spans="1:4" x14ac:dyDescent="0.35">
      <c r="A38" s="19" t="s">
        <v>77</v>
      </c>
      <c r="B38" s="96"/>
      <c r="C38" s="97"/>
      <c r="D38" s="97"/>
    </row>
    <row r="39" spans="1:4" x14ac:dyDescent="0.35">
      <c r="A39" s="19"/>
      <c r="B39" s="25"/>
      <c r="C39" s="25"/>
      <c r="D39" s="25"/>
    </row>
    <row r="40" spans="1:4" ht="29" x14ac:dyDescent="0.35">
      <c r="A40" s="15" t="s">
        <v>53</v>
      </c>
      <c r="B40" s="16"/>
      <c r="C40" s="17">
        <f>SUM(D42-C25-C29-C33-C37)</f>
        <v>-58897.25</v>
      </c>
      <c r="D40" s="16"/>
    </row>
    <row r="41" spans="1:4" x14ac:dyDescent="0.35">
      <c r="A41" s="19"/>
      <c r="B41" s="25"/>
      <c r="C41" s="20"/>
      <c r="D41" s="25"/>
    </row>
    <row r="42" spans="1:4" ht="15" thickBot="1" x14ac:dyDescent="0.4">
      <c r="A42" s="176" t="s">
        <v>19</v>
      </c>
      <c r="B42" s="177"/>
      <c r="C42" s="178">
        <v>216174.21</v>
      </c>
      <c r="D42" s="178">
        <f>SUM(D6:D8)</f>
        <v>216174.21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35DD-EF4F-4E6F-AB43-C34C7156C06D}">
  <dimension ref="A1:H23"/>
  <sheetViews>
    <sheetView tabSelected="1" workbookViewId="0">
      <selection activeCell="F7" sqref="F7"/>
    </sheetView>
  </sheetViews>
  <sheetFormatPr defaultColWidth="29.81640625" defaultRowHeight="14.5" x14ac:dyDescent="0.35"/>
  <cols>
    <col min="1" max="16384" width="29.81640625" style="1"/>
  </cols>
  <sheetData>
    <row r="1" spans="1:8" ht="17.5" customHeight="1" thickBot="1" x14ac:dyDescent="0.4">
      <c r="A1" s="66" t="s">
        <v>5</v>
      </c>
      <c r="B1" s="67"/>
      <c r="C1" s="67"/>
      <c r="D1" s="68"/>
      <c r="E1" s="35"/>
      <c r="F1" s="35"/>
      <c r="G1" s="35"/>
      <c r="H1" s="35"/>
    </row>
    <row r="2" spans="1:8" ht="15" thickBot="1" x14ac:dyDescent="0.4">
      <c r="A2" s="69" t="s">
        <v>6</v>
      </c>
      <c r="B2" s="70"/>
      <c r="C2" s="70"/>
      <c r="D2" s="71"/>
      <c r="E2" s="35"/>
      <c r="F2" s="35"/>
      <c r="G2" s="35"/>
      <c r="H2" s="35"/>
    </row>
    <row r="3" spans="1:8" ht="10" customHeight="1" x14ac:dyDescent="0.35"/>
    <row r="4" spans="1:8" x14ac:dyDescent="0.35">
      <c r="A4" s="36" t="s">
        <v>7</v>
      </c>
      <c r="B4" s="36" t="s">
        <v>8</v>
      </c>
      <c r="C4" s="36" t="s">
        <v>9</v>
      </c>
      <c r="D4" s="36" t="s">
        <v>10</v>
      </c>
    </row>
    <row r="5" spans="1:8" ht="20" customHeight="1" x14ac:dyDescent="0.35">
      <c r="A5" s="25" t="s">
        <v>42</v>
      </c>
      <c r="B5" s="20">
        <v>9374594.0999999996</v>
      </c>
      <c r="C5" s="20">
        <f>SUM(B5/B9*C9)</f>
        <v>181118.15701971055</v>
      </c>
      <c r="D5" s="20">
        <f>SUM(B5/B9*D9)</f>
        <v>34247.796963727087</v>
      </c>
    </row>
    <row r="6" spans="1:8" ht="18.5" customHeight="1" thickBot="1" x14ac:dyDescent="0.4">
      <c r="A6" s="25" t="s">
        <v>43</v>
      </c>
      <c r="B6" s="20">
        <v>3500000</v>
      </c>
      <c r="C6" s="20">
        <f>SUM(B6/B9*C9)</f>
        <v>67620.372979027103</v>
      </c>
      <c r="D6" s="20">
        <f>SUM(B6/B9*D9)</f>
        <v>12786.39779967058</v>
      </c>
    </row>
    <row r="7" spans="1:8" ht="18.5" customHeight="1" x14ac:dyDescent="0.35">
      <c r="A7" s="25" t="s">
        <v>44</v>
      </c>
      <c r="B7" s="17">
        <v>1150000</v>
      </c>
      <c r="C7" s="17">
        <f>SUM(B7/B9*C9)</f>
        <v>22218.122550251763</v>
      </c>
      <c r="D7" s="17">
        <f>SUM(B7/B9*D9)</f>
        <v>4201.2449913203336</v>
      </c>
    </row>
    <row r="8" spans="1:8" ht="21" customHeight="1" thickBot="1" x14ac:dyDescent="0.4">
      <c r="A8" s="16" t="s">
        <v>45</v>
      </c>
      <c r="B8" s="17">
        <v>209281.84</v>
      </c>
      <c r="C8" s="17">
        <f>SUM(B8/B9*C9)</f>
        <v>4043.3474510105925</v>
      </c>
      <c r="D8" s="17">
        <f>SUM(B8/B9*D9)</f>
        <v>764.56024528200294</v>
      </c>
    </row>
    <row r="9" spans="1:8" ht="15" thickBot="1" x14ac:dyDescent="0.4">
      <c r="A9" s="37" t="s">
        <v>11</v>
      </c>
      <c r="B9" s="27">
        <f>SUM(B5:B8)</f>
        <v>14233875.939999999</v>
      </c>
      <c r="C9" s="27">
        <v>275000</v>
      </c>
      <c r="D9" s="28">
        <v>52000</v>
      </c>
    </row>
    <row r="12" spans="1:8" ht="15" thickBot="1" x14ac:dyDescent="0.4"/>
    <row r="13" spans="1:8" ht="15" thickBot="1" x14ac:dyDescent="0.4">
      <c r="A13" s="100" t="s">
        <v>12</v>
      </c>
      <c r="B13" s="101"/>
      <c r="C13" s="102"/>
    </row>
    <row r="14" spans="1:8" x14ac:dyDescent="0.35">
      <c r="A14" s="18" t="s">
        <v>79</v>
      </c>
      <c r="B14" s="13">
        <v>14233875.939999999</v>
      </c>
      <c r="C14" s="13">
        <v>1000</v>
      </c>
    </row>
    <row r="15" spans="1:8" x14ac:dyDescent="0.35">
      <c r="A15" s="18"/>
      <c r="B15" s="13"/>
      <c r="C15" s="13"/>
    </row>
    <row r="16" spans="1:8" ht="15" thickBot="1" x14ac:dyDescent="0.4">
      <c r="A16" s="25" t="s">
        <v>80</v>
      </c>
      <c r="B16" s="114">
        <v>150000</v>
      </c>
      <c r="C16" s="20"/>
    </row>
    <row r="17" spans="1:3" x14ac:dyDescent="0.35">
      <c r="A17" s="25"/>
      <c r="B17" s="13">
        <f>SUM(B14-B16)</f>
        <v>14083875.939999999</v>
      </c>
      <c r="C17" s="20"/>
    </row>
    <row r="18" spans="1:3" x14ac:dyDescent="0.35">
      <c r="A18" s="25" t="s">
        <v>81</v>
      </c>
      <c r="B18" s="140">
        <v>2816</v>
      </c>
      <c r="C18" s="20"/>
    </row>
    <row r="19" spans="1:3" x14ac:dyDescent="0.35">
      <c r="A19" s="25"/>
      <c r="B19" s="20"/>
      <c r="C19" s="20"/>
    </row>
    <row r="20" spans="1:3" x14ac:dyDescent="0.35">
      <c r="A20" s="25" t="s">
        <v>138</v>
      </c>
      <c r="B20" s="20">
        <f>SUM(2816*275)</f>
        <v>774400</v>
      </c>
      <c r="C20" s="20"/>
    </row>
    <row r="21" spans="1:3" x14ac:dyDescent="0.35">
      <c r="A21" s="16"/>
      <c r="B21" s="17"/>
      <c r="C21" s="17"/>
    </row>
    <row r="22" spans="1:3" ht="29.5" thickBot="1" x14ac:dyDescent="0.4">
      <c r="A22" s="15" t="s">
        <v>139</v>
      </c>
      <c r="B22" s="17"/>
      <c r="C22" s="17"/>
    </row>
    <row r="23" spans="1:3" ht="15" thickBot="1" x14ac:dyDescent="0.4">
      <c r="A23" s="103" t="s">
        <v>82</v>
      </c>
      <c r="B23" s="141">
        <v>275000</v>
      </c>
      <c r="C23" s="104"/>
    </row>
  </sheetData>
  <mergeCells count="3">
    <mergeCell ref="A1:D1"/>
    <mergeCell ref="A2:D2"/>
    <mergeCell ref="A13:C1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0C24-D7CC-4333-8556-84CC1A3F5251}">
  <dimension ref="A1:J54"/>
  <sheetViews>
    <sheetView topLeftCell="A44" workbookViewId="0">
      <selection activeCell="E9" sqref="E9"/>
    </sheetView>
  </sheetViews>
  <sheetFormatPr defaultColWidth="31.6328125" defaultRowHeight="14.5" x14ac:dyDescent="0.35"/>
  <cols>
    <col min="1" max="16384" width="31.6328125" style="1"/>
  </cols>
  <sheetData>
    <row r="1" spans="1:10" ht="23" customHeight="1" thickBot="1" x14ac:dyDescent="0.4">
      <c r="A1" s="105" t="s">
        <v>21</v>
      </c>
      <c r="B1" s="64"/>
      <c r="C1" s="64"/>
      <c r="D1" s="106"/>
      <c r="E1" s="38"/>
      <c r="F1" s="38"/>
      <c r="G1" s="35"/>
      <c r="H1" s="35"/>
      <c r="I1" s="35"/>
      <c r="J1" s="35"/>
    </row>
    <row r="2" spans="1:10" ht="21.5" customHeight="1" thickBot="1" x14ac:dyDescent="0.4">
      <c r="A2" s="105" t="s">
        <v>22</v>
      </c>
      <c r="B2" s="64"/>
      <c r="C2" s="64"/>
      <c r="D2" s="106"/>
      <c r="E2" s="38"/>
      <c r="F2" s="38"/>
      <c r="G2" s="35"/>
      <c r="H2" s="35"/>
      <c r="I2" s="35"/>
      <c r="J2" s="35"/>
    </row>
    <row r="3" spans="1:10" ht="15" thickBot="1" x14ac:dyDescent="0.4">
      <c r="A3" s="105" t="s">
        <v>83</v>
      </c>
      <c r="B3" s="64"/>
      <c r="C3" s="64"/>
      <c r="D3" s="106"/>
      <c r="E3" s="38"/>
      <c r="F3" s="38"/>
      <c r="G3" s="35"/>
      <c r="H3" s="35"/>
      <c r="I3" s="35"/>
      <c r="J3" s="35"/>
    </row>
    <row r="4" spans="1:10" ht="20" customHeight="1" x14ac:dyDescent="0.35">
      <c r="A4" s="39" t="s">
        <v>84</v>
      </c>
      <c r="B4" s="107"/>
      <c r="C4" s="107"/>
      <c r="D4" s="108"/>
      <c r="E4" s="40"/>
      <c r="F4" s="40"/>
    </row>
    <row r="5" spans="1:10" ht="20" customHeight="1" x14ac:dyDescent="0.35">
      <c r="A5" s="25" t="s">
        <v>85</v>
      </c>
      <c r="B5" s="20">
        <v>9100000</v>
      </c>
      <c r="C5" s="20"/>
      <c r="D5" s="20">
        <f>SUM(9100000*3%)</f>
        <v>273000</v>
      </c>
      <c r="E5" s="41"/>
    </row>
    <row r="6" spans="1:10" ht="19" customHeight="1" thickBot="1" x14ac:dyDescent="0.4">
      <c r="A6" s="33" t="s">
        <v>86</v>
      </c>
      <c r="B6" s="20">
        <v>1186956.52</v>
      </c>
      <c r="C6" s="109" t="s">
        <v>87</v>
      </c>
      <c r="D6" s="17">
        <f>1186956.52*15%*3%</f>
        <v>5341.3043399999997</v>
      </c>
      <c r="E6" s="41"/>
    </row>
    <row r="7" spans="1:10" ht="18.5" customHeight="1" thickBot="1" x14ac:dyDescent="0.4">
      <c r="A7" s="33" t="s">
        <v>88</v>
      </c>
      <c r="B7" s="20"/>
      <c r="C7" s="110"/>
      <c r="D7" s="34">
        <f>SUM(D5-D6)</f>
        <v>267658.69566000003</v>
      </c>
    </row>
    <row r="8" spans="1:10" ht="21" customHeight="1" x14ac:dyDescent="0.35">
      <c r="A8" s="33"/>
      <c r="B8" s="20"/>
      <c r="C8" s="20"/>
      <c r="D8" s="111"/>
    </row>
    <row r="9" spans="1:10" ht="29" x14ac:dyDescent="0.35">
      <c r="A9" s="19" t="s">
        <v>141</v>
      </c>
      <c r="C9" s="20"/>
    </row>
    <row r="10" spans="1:10" x14ac:dyDescent="0.35">
      <c r="A10" s="25" t="s">
        <v>89</v>
      </c>
      <c r="B10" s="20">
        <v>230894.1</v>
      </c>
      <c r="C10" s="20"/>
      <c r="D10" s="20">
        <f>SUM(B10*10%)</f>
        <v>23089.410000000003</v>
      </c>
    </row>
    <row r="11" spans="1:10" ht="15" thickBot="1" x14ac:dyDescent="0.4">
      <c r="A11" s="25" t="s">
        <v>90</v>
      </c>
      <c r="B11" s="20">
        <v>30116.62</v>
      </c>
      <c r="C11" s="20" t="s">
        <v>91</v>
      </c>
      <c r="D11" s="17">
        <f>SUM(B11*15%*10%)</f>
        <v>451.74929999999995</v>
      </c>
    </row>
    <row r="12" spans="1:10" x14ac:dyDescent="0.35">
      <c r="A12" s="143" t="s">
        <v>143</v>
      </c>
      <c r="B12" s="17"/>
      <c r="C12" s="144"/>
      <c r="D12" s="145">
        <f>SUM(D10-D11)</f>
        <v>22637.660700000004</v>
      </c>
    </row>
    <row r="13" spans="1:10" x14ac:dyDescent="0.35">
      <c r="A13" s="33"/>
      <c r="B13" s="20"/>
      <c r="C13" s="20"/>
      <c r="D13" s="97"/>
    </row>
    <row r="14" spans="1:10" ht="43.5" x14ac:dyDescent="0.35">
      <c r="A14" s="19" t="s">
        <v>140</v>
      </c>
      <c r="C14" s="20"/>
    </row>
    <row r="15" spans="1:10" x14ac:dyDescent="0.35">
      <c r="A15" s="25" t="s">
        <v>89</v>
      </c>
      <c r="B15" s="20">
        <v>43700</v>
      </c>
      <c r="C15" s="20"/>
      <c r="D15" s="20">
        <f>SUM(B15*10%)</f>
        <v>4370</v>
      </c>
    </row>
    <row r="16" spans="1:10" ht="15" thickBot="1" x14ac:dyDescent="0.4">
      <c r="A16" s="25" t="s">
        <v>90</v>
      </c>
      <c r="B16" s="20">
        <v>5700</v>
      </c>
      <c r="C16" s="20" t="s">
        <v>91</v>
      </c>
      <c r="D16" s="17">
        <f>SUM(B16*15%*10%)</f>
        <v>85.5</v>
      </c>
    </row>
    <row r="17" spans="1:6" x14ac:dyDescent="0.35">
      <c r="A17" s="143" t="s">
        <v>142</v>
      </c>
      <c r="B17" s="17"/>
      <c r="C17" s="144"/>
      <c r="D17" s="145">
        <f>SUM(D15-D16)</f>
        <v>4284.5</v>
      </c>
    </row>
    <row r="18" spans="1:6" x14ac:dyDescent="0.35">
      <c r="A18" s="33"/>
      <c r="B18" s="20"/>
      <c r="C18" s="20"/>
      <c r="D18" s="97"/>
    </row>
    <row r="19" spans="1:6" x14ac:dyDescent="0.35">
      <c r="A19" s="25" t="s">
        <v>92</v>
      </c>
      <c r="B19" s="20"/>
      <c r="C19" s="20"/>
      <c r="D19" s="20">
        <v>267658.7</v>
      </c>
    </row>
    <row r="20" spans="1:6" x14ac:dyDescent="0.35">
      <c r="A20" s="25" t="s">
        <v>145</v>
      </c>
      <c r="B20" s="20"/>
      <c r="C20" s="20"/>
      <c r="D20" s="17">
        <v>22637.66</v>
      </c>
    </row>
    <row r="21" spans="1:6" ht="15" thickBot="1" x14ac:dyDescent="0.4">
      <c r="A21" s="112" t="s">
        <v>144</v>
      </c>
      <c r="B21" s="113"/>
      <c r="C21" s="113"/>
      <c r="D21" s="114">
        <v>4284.5</v>
      </c>
      <c r="E21" s="35"/>
      <c r="F21" s="35"/>
    </row>
    <row r="22" spans="1:6" x14ac:dyDescent="0.35">
      <c r="A22" s="146" t="s">
        <v>146</v>
      </c>
      <c r="B22" s="20"/>
      <c r="C22" s="20"/>
      <c r="D22" s="13">
        <f>SUM(D19:D21)</f>
        <v>294580.86</v>
      </c>
    </row>
    <row r="23" spans="1:6" ht="15" thickBot="1" x14ac:dyDescent="0.4">
      <c r="A23" s="16" t="s">
        <v>93</v>
      </c>
      <c r="B23" s="17"/>
      <c r="C23" s="17"/>
      <c r="D23" s="17">
        <f>SUM(D22*15%)</f>
        <v>44187.128999999994</v>
      </c>
    </row>
    <row r="24" spans="1:6" ht="15" thickBot="1" x14ac:dyDescent="0.4">
      <c r="A24" s="151" t="s">
        <v>94</v>
      </c>
      <c r="B24" s="27"/>
      <c r="C24" s="27"/>
      <c r="D24" s="28">
        <f>SUM(D23,D22)</f>
        <v>338767.989</v>
      </c>
    </row>
    <row r="25" spans="1:6" ht="15" thickBot="1" x14ac:dyDescent="0.4"/>
    <row r="26" spans="1:6" ht="15" thickBot="1" x14ac:dyDescent="0.4">
      <c r="A26" s="115" t="s">
        <v>95</v>
      </c>
      <c r="B26" s="116"/>
      <c r="C26" s="116"/>
      <c r="D26" s="117"/>
    </row>
    <row r="27" spans="1:6" x14ac:dyDescent="0.35">
      <c r="A27" s="18" t="s">
        <v>96</v>
      </c>
      <c r="B27" s="13">
        <v>3500000</v>
      </c>
      <c r="C27" s="13"/>
      <c r="D27" s="13">
        <f>SUM(B27*10%)</f>
        <v>350000</v>
      </c>
    </row>
    <row r="28" spans="1:6" ht="15" thickBot="1" x14ac:dyDescent="0.4">
      <c r="A28" s="25" t="s">
        <v>80</v>
      </c>
      <c r="B28" s="20">
        <v>456521.74</v>
      </c>
      <c r="C28" s="20" t="s">
        <v>97</v>
      </c>
      <c r="D28" s="114">
        <f>SUM(B28*15%*10%)</f>
        <v>6847.8261000000002</v>
      </c>
    </row>
    <row r="29" spans="1:6" x14ac:dyDescent="0.35">
      <c r="A29" s="25"/>
      <c r="B29" s="20"/>
      <c r="C29" s="20"/>
      <c r="D29" s="13">
        <f>SUM(D27-D28)</f>
        <v>343152.17389999999</v>
      </c>
    </row>
    <row r="30" spans="1:6" ht="15" thickBot="1" x14ac:dyDescent="0.4">
      <c r="A30" s="16" t="s">
        <v>98</v>
      </c>
      <c r="B30" s="17"/>
      <c r="C30" s="17"/>
      <c r="D30" s="17">
        <f>SUM(D29*15%)</f>
        <v>51472.826085000001</v>
      </c>
    </row>
    <row r="31" spans="1:6" ht="15" thickBot="1" x14ac:dyDescent="0.4">
      <c r="A31" s="151" t="s">
        <v>94</v>
      </c>
      <c r="B31" s="95"/>
      <c r="C31" s="152"/>
      <c r="D31" s="34">
        <f>SUM(D29:D30)</f>
        <v>394624.999985</v>
      </c>
    </row>
    <row r="32" spans="1:6" ht="15" thickBot="1" x14ac:dyDescent="0.4">
      <c r="A32" s="149"/>
      <c r="B32" s="150"/>
      <c r="C32" s="150"/>
      <c r="D32" s="142"/>
    </row>
    <row r="33" spans="1:5" ht="15" thickBot="1" x14ac:dyDescent="0.4">
      <c r="A33" s="115" t="s">
        <v>151</v>
      </c>
      <c r="B33" s="116"/>
      <c r="C33" s="116"/>
      <c r="D33" s="117"/>
    </row>
    <row r="34" spans="1:5" x14ac:dyDescent="0.35">
      <c r="A34" s="18" t="s">
        <v>96</v>
      </c>
      <c r="B34" s="13">
        <v>1150000</v>
      </c>
      <c r="C34" s="13"/>
      <c r="D34" s="13">
        <f>SUM(B34*10%)</f>
        <v>115000</v>
      </c>
    </row>
    <row r="35" spans="1:5" ht="15" thickBot="1" x14ac:dyDescent="0.4">
      <c r="A35" s="25" t="s">
        <v>80</v>
      </c>
      <c r="B35" s="20"/>
      <c r="C35" s="20" t="s">
        <v>97</v>
      </c>
      <c r="D35" s="114">
        <f>SUM(B35*15%*10%)</f>
        <v>0</v>
      </c>
    </row>
    <row r="36" spans="1:5" x14ac:dyDescent="0.35">
      <c r="A36" s="25"/>
      <c r="B36" s="20"/>
      <c r="C36" s="20"/>
      <c r="D36" s="13">
        <f>SUM(D34-D35)</f>
        <v>115000</v>
      </c>
    </row>
    <row r="37" spans="1:5" ht="15" thickBot="1" x14ac:dyDescent="0.4">
      <c r="A37" s="16" t="s">
        <v>98</v>
      </c>
      <c r="B37" s="17"/>
      <c r="C37" s="17"/>
      <c r="D37" s="17">
        <f>SUM(D36*15%)</f>
        <v>17250</v>
      </c>
    </row>
    <row r="38" spans="1:5" ht="15" thickBot="1" x14ac:dyDescent="0.4">
      <c r="A38" s="151" t="s">
        <v>94</v>
      </c>
      <c r="B38" s="27"/>
      <c r="C38" s="153"/>
      <c r="D38" s="34">
        <f>SUM(D36:D37)</f>
        <v>132250</v>
      </c>
    </row>
    <row r="39" spans="1:5" ht="15" thickBot="1" x14ac:dyDescent="0.4"/>
    <row r="40" spans="1:5" ht="15" thickBot="1" x14ac:dyDescent="0.4">
      <c r="A40" s="100" t="s">
        <v>99</v>
      </c>
      <c r="B40" s="101"/>
      <c r="C40" s="101"/>
      <c r="D40" s="102"/>
    </row>
    <row r="41" spans="1:5" ht="20" customHeight="1" x14ac:dyDescent="0.35">
      <c r="A41" s="25" t="s">
        <v>152</v>
      </c>
      <c r="B41" s="20">
        <v>88405.08</v>
      </c>
      <c r="C41" s="20"/>
      <c r="D41" s="20">
        <f>SUM(B41*10%)</f>
        <v>8840.5079999999998</v>
      </c>
      <c r="E41" s="41"/>
    </row>
    <row r="42" spans="1:5" ht="19" customHeight="1" thickBot="1" x14ac:dyDescent="0.4">
      <c r="A42" s="33" t="s">
        <v>86</v>
      </c>
      <c r="B42" s="20"/>
      <c r="C42" s="109" t="s">
        <v>87</v>
      </c>
      <c r="D42" s="17">
        <f>B42*15%*3%</f>
        <v>0</v>
      </c>
      <c r="E42" s="41"/>
    </row>
    <row r="43" spans="1:5" ht="18.5" customHeight="1" thickBot="1" x14ac:dyDescent="0.4">
      <c r="A43" s="33" t="s">
        <v>154</v>
      </c>
      <c r="B43" s="20"/>
      <c r="C43" s="110"/>
      <c r="D43" s="34">
        <f>SUM(D41-D42)</f>
        <v>8840.5079999999998</v>
      </c>
    </row>
    <row r="44" spans="1:5" ht="21" customHeight="1" x14ac:dyDescent="0.35">
      <c r="A44" s="33"/>
      <c r="B44" s="20"/>
      <c r="C44" s="20"/>
      <c r="D44" s="111"/>
    </row>
    <row r="45" spans="1:5" x14ac:dyDescent="0.35">
      <c r="A45" s="19"/>
      <c r="C45" s="20"/>
    </row>
    <row r="46" spans="1:5" x14ac:dyDescent="0.35">
      <c r="A46" s="25" t="s">
        <v>153</v>
      </c>
      <c r="B46" s="20">
        <v>120876.76</v>
      </c>
      <c r="C46" s="20"/>
      <c r="D46" s="20">
        <f>SUM(B46*10%)</f>
        <v>12087.675999999999</v>
      </c>
    </row>
    <row r="47" spans="1:5" ht="15" thickBot="1" x14ac:dyDescent="0.4">
      <c r="A47" s="25" t="s">
        <v>90</v>
      </c>
      <c r="B47" s="20"/>
      <c r="C47" s="20" t="s">
        <v>91</v>
      </c>
      <c r="D47" s="17">
        <f>SUM(B47*15%*10%)</f>
        <v>0</v>
      </c>
    </row>
    <row r="48" spans="1:5" x14ac:dyDescent="0.35">
      <c r="A48" s="143" t="s">
        <v>155</v>
      </c>
      <c r="B48" s="17"/>
      <c r="C48" s="144"/>
      <c r="D48" s="145">
        <f>SUM(D46-D47)</f>
        <v>12087.675999999999</v>
      </c>
    </row>
    <row r="49" spans="1:4" x14ac:dyDescent="0.35">
      <c r="A49" s="33"/>
      <c r="B49" s="20"/>
      <c r="C49" s="20"/>
      <c r="D49" s="97"/>
    </row>
    <row r="50" spans="1:4" x14ac:dyDescent="0.35">
      <c r="A50" s="25" t="s">
        <v>156</v>
      </c>
      <c r="B50" s="20"/>
      <c r="C50" s="20"/>
      <c r="D50" s="20">
        <v>8840.51</v>
      </c>
    </row>
    <row r="51" spans="1:4" x14ac:dyDescent="0.35">
      <c r="A51" s="25" t="s">
        <v>157</v>
      </c>
      <c r="B51" s="20"/>
      <c r="C51" s="20"/>
      <c r="D51" s="17">
        <v>12087.68</v>
      </c>
    </row>
    <row r="52" spans="1:4" x14ac:dyDescent="0.35">
      <c r="A52" s="146" t="s">
        <v>146</v>
      </c>
      <c r="B52" s="20"/>
      <c r="C52" s="20"/>
      <c r="D52" s="13">
        <f>SUM(D50:D51)</f>
        <v>20928.190000000002</v>
      </c>
    </row>
    <row r="53" spans="1:4" ht="15" thickBot="1" x14ac:dyDescent="0.4">
      <c r="A53" s="16" t="s">
        <v>93</v>
      </c>
      <c r="B53" s="17"/>
      <c r="C53" s="17"/>
      <c r="D53" s="17">
        <f>SUM(D52*15%)</f>
        <v>3139.2285000000002</v>
      </c>
    </row>
    <row r="54" spans="1:4" ht="15" thickBot="1" x14ac:dyDescent="0.4">
      <c r="A54" s="151" t="s">
        <v>94</v>
      </c>
      <c r="B54" s="27"/>
      <c r="C54" s="27"/>
      <c r="D54" s="28">
        <f>SUM(D53,D52)</f>
        <v>24067.418500000003</v>
      </c>
    </row>
  </sheetData>
  <mergeCells count="6">
    <mergeCell ref="A26:D26"/>
    <mergeCell ref="A40:D40"/>
    <mergeCell ref="A33:D33"/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D0D1-CDAB-40D3-843B-7C53A21F58C8}">
  <dimension ref="A1:C7"/>
  <sheetViews>
    <sheetView workbookViewId="0">
      <selection activeCell="B13" sqref="B13"/>
    </sheetView>
  </sheetViews>
  <sheetFormatPr defaultColWidth="31.90625" defaultRowHeight="14.5" x14ac:dyDescent="0.35"/>
  <cols>
    <col min="1" max="1" width="31.90625" style="21"/>
    <col min="2" max="16384" width="31.90625" style="1"/>
  </cols>
  <sheetData>
    <row r="1" spans="1:3" x14ac:dyDescent="0.35">
      <c r="A1" s="72" t="s">
        <v>13</v>
      </c>
      <c r="B1" s="73"/>
      <c r="C1" s="74"/>
    </row>
    <row r="2" spans="1:3" ht="15" thickBot="1" x14ac:dyDescent="0.4">
      <c r="A2" s="69" t="s">
        <v>100</v>
      </c>
      <c r="B2" s="70"/>
      <c r="C2" s="71"/>
    </row>
    <row r="3" spans="1:3" ht="15" thickBot="1" x14ac:dyDescent="0.4"/>
    <row r="4" spans="1:3" x14ac:dyDescent="0.35">
      <c r="A4" s="42" t="s">
        <v>7</v>
      </c>
      <c r="B4" s="43" t="s">
        <v>14</v>
      </c>
      <c r="C4" s="44" t="s">
        <v>15</v>
      </c>
    </row>
    <row r="5" spans="1:3" x14ac:dyDescent="0.35">
      <c r="A5" s="19" t="s">
        <v>50</v>
      </c>
      <c r="B5" s="20">
        <v>9374594.0999999996</v>
      </c>
      <c r="C5" s="20">
        <f>SUM(B5/B7*C7)</f>
        <v>25571.1965922622</v>
      </c>
    </row>
    <row r="6" spans="1:3" x14ac:dyDescent="0.35">
      <c r="A6" s="19" t="s">
        <v>43</v>
      </c>
      <c r="B6" s="20">
        <v>3500000</v>
      </c>
      <c r="C6" s="20">
        <f>SUM(B6/B7*C7)</f>
        <v>9546.9934077378039</v>
      </c>
    </row>
    <row r="7" spans="1:3" x14ac:dyDescent="0.35">
      <c r="A7" s="45" t="s">
        <v>11</v>
      </c>
      <c r="B7" s="97">
        <f>SUM(B5:B6)</f>
        <v>12874594.1</v>
      </c>
      <c r="C7" s="97">
        <v>35118.19</v>
      </c>
    </row>
  </sheetData>
  <mergeCells count="2">
    <mergeCell ref="A1:C1"/>
    <mergeCell ref="A2:C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6C32E-F258-4A1E-87BF-922AD3FAFA7C}">
  <dimension ref="A1:H12"/>
  <sheetViews>
    <sheetView workbookViewId="0">
      <selection activeCell="B13" sqref="B13"/>
    </sheetView>
  </sheetViews>
  <sheetFormatPr defaultColWidth="34.90625" defaultRowHeight="14.5" x14ac:dyDescent="0.35"/>
  <cols>
    <col min="1" max="16384" width="34.90625" style="1"/>
  </cols>
  <sheetData>
    <row r="1" spans="1:8" ht="17.5" customHeight="1" thickBot="1" x14ac:dyDescent="0.4">
      <c r="A1" s="66" t="s">
        <v>23</v>
      </c>
      <c r="B1" s="67"/>
      <c r="C1" s="67"/>
      <c r="D1" s="68"/>
      <c r="E1" s="35"/>
      <c r="F1" s="35"/>
      <c r="G1" s="35"/>
      <c r="H1" s="35"/>
    </row>
    <row r="2" spans="1:8" ht="15" thickBot="1" x14ac:dyDescent="0.4">
      <c r="A2" s="69" t="s">
        <v>24</v>
      </c>
      <c r="B2" s="70"/>
      <c r="C2" s="70"/>
      <c r="D2" s="71"/>
      <c r="E2" s="35"/>
      <c r="F2" s="35"/>
      <c r="G2" s="35"/>
      <c r="H2" s="35"/>
    </row>
    <row r="3" spans="1:8" ht="10" customHeight="1" x14ac:dyDescent="0.35"/>
    <row r="4" spans="1:8" ht="28" customHeight="1" x14ac:dyDescent="0.35">
      <c r="A4" s="46" t="s">
        <v>7</v>
      </c>
      <c r="B4" s="46" t="s">
        <v>25</v>
      </c>
      <c r="C4" s="46" t="s">
        <v>26</v>
      </c>
      <c r="D4" s="47" t="s">
        <v>27</v>
      </c>
    </row>
    <row r="5" spans="1:8" ht="20" customHeight="1" x14ac:dyDescent="0.35">
      <c r="A5" s="25" t="s">
        <v>46</v>
      </c>
      <c r="B5" s="20">
        <v>1222773.1399999999</v>
      </c>
      <c r="C5" s="20">
        <v>51989.61</v>
      </c>
      <c r="D5" s="20">
        <f>SUM(B5-C5)</f>
        <v>1170783.5299999998</v>
      </c>
    </row>
    <row r="6" spans="1:8" ht="18.5" customHeight="1" x14ac:dyDescent="0.35">
      <c r="A6" s="25" t="s">
        <v>47</v>
      </c>
      <c r="B6" s="20">
        <v>456521.74</v>
      </c>
      <c r="C6" s="20">
        <v>58117.98</v>
      </c>
      <c r="D6" s="20">
        <f>SUM(B6-C6)</f>
        <v>398403.76</v>
      </c>
    </row>
    <row r="7" spans="1:8" ht="18.5" customHeight="1" x14ac:dyDescent="0.35">
      <c r="A7" s="25" t="s">
        <v>48</v>
      </c>
      <c r="B7" s="154">
        <v>0</v>
      </c>
      <c r="C7" s="17">
        <v>17797.990000000002</v>
      </c>
      <c r="D7" s="17">
        <f>SUM(B7-C7)</f>
        <v>-17797.990000000002</v>
      </c>
    </row>
    <row r="8" spans="1:8" ht="21" customHeight="1" thickBot="1" x14ac:dyDescent="0.4">
      <c r="A8" s="16" t="s">
        <v>49</v>
      </c>
      <c r="B8" s="154">
        <v>0</v>
      </c>
      <c r="C8" s="17">
        <v>6892.37</v>
      </c>
      <c r="D8" s="17">
        <f>SUM(B8-C8)</f>
        <v>-6892.37</v>
      </c>
    </row>
    <row r="9" spans="1:8" ht="15" thickBot="1" x14ac:dyDescent="0.4">
      <c r="A9" s="37" t="s">
        <v>11</v>
      </c>
      <c r="B9" s="27">
        <f>SUM(B5:B8)</f>
        <v>1679294.88</v>
      </c>
      <c r="C9" s="27">
        <f>SUM(C5:C8)</f>
        <v>134797.95000000001</v>
      </c>
      <c r="D9" s="28">
        <f>SUM(D5:D8)</f>
        <v>1544496.9299999997</v>
      </c>
    </row>
    <row r="12" spans="1:8" x14ac:dyDescent="0.35">
      <c r="A12" s="35"/>
    </row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DD7E-A144-43C0-B5D7-24951C4759EE}">
  <dimension ref="A1:H33"/>
  <sheetViews>
    <sheetView workbookViewId="0">
      <selection activeCell="C32" sqref="C32"/>
    </sheetView>
  </sheetViews>
  <sheetFormatPr defaultColWidth="20.1796875" defaultRowHeight="14.5" x14ac:dyDescent="0.35"/>
  <cols>
    <col min="1" max="1" width="13.90625" style="132" customWidth="1"/>
    <col min="2" max="16384" width="20.1796875" style="21"/>
  </cols>
  <sheetData>
    <row r="1" spans="1:8" ht="29" customHeight="1" thickBot="1" x14ac:dyDescent="0.4">
      <c r="A1" s="75" t="s">
        <v>40</v>
      </c>
      <c r="B1" s="76"/>
      <c r="C1" s="76"/>
      <c r="D1" s="76"/>
      <c r="E1" s="76"/>
      <c r="F1" s="76"/>
      <c r="G1" s="76"/>
      <c r="H1" s="77"/>
    </row>
    <row r="2" spans="1:8" ht="44" thickBot="1" x14ac:dyDescent="0.4">
      <c r="A2" s="158" t="s">
        <v>32</v>
      </c>
      <c r="B2" s="159" t="s">
        <v>33</v>
      </c>
      <c r="C2" s="159" t="s">
        <v>34</v>
      </c>
      <c r="D2" s="159" t="s">
        <v>35</v>
      </c>
      <c r="E2" s="159" t="s">
        <v>36</v>
      </c>
      <c r="F2" s="159" t="s">
        <v>37</v>
      </c>
      <c r="G2" s="159" t="s">
        <v>38</v>
      </c>
      <c r="H2" s="164" t="s">
        <v>39</v>
      </c>
    </row>
    <row r="3" spans="1:8" ht="15" thickBot="1" x14ac:dyDescent="0.4">
      <c r="A3" s="118">
        <v>1</v>
      </c>
      <c r="B3" s="119" t="s">
        <v>159</v>
      </c>
      <c r="C3" s="120">
        <v>8946765.3200000003</v>
      </c>
      <c r="D3" s="120">
        <v>8946765.3200000003</v>
      </c>
      <c r="E3" s="120">
        <v>0</v>
      </c>
      <c r="F3" s="120">
        <v>0</v>
      </c>
      <c r="G3" s="120">
        <v>0</v>
      </c>
      <c r="H3" s="121">
        <f>SUM(C3/F29*F3)</f>
        <v>0</v>
      </c>
    </row>
    <row r="4" spans="1:8" ht="15" thickBot="1" x14ac:dyDescent="0.4">
      <c r="A4" s="122"/>
      <c r="B4" s="6"/>
      <c r="C4" s="56"/>
      <c r="D4" s="56"/>
      <c r="E4" s="56"/>
      <c r="F4" s="56"/>
      <c r="G4" s="56"/>
      <c r="H4" s="56"/>
    </row>
    <row r="5" spans="1:8" ht="15" thickBot="1" x14ac:dyDescent="0.4">
      <c r="A5" s="123">
        <v>2</v>
      </c>
      <c r="B5" s="124" t="s">
        <v>160</v>
      </c>
      <c r="C5" s="125">
        <v>3203064.89</v>
      </c>
      <c r="D5" s="125">
        <v>2588404.71</v>
      </c>
      <c r="E5" s="125">
        <v>0</v>
      </c>
      <c r="F5" s="125">
        <f>SUM(C5-D5)</f>
        <v>614660.18000000017</v>
      </c>
      <c r="G5" s="125">
        <v>2588404.71</v>
      </c>
      <c r="H5" s="126">
        <f>SUM(H29/F29*F5)</f>
        <v>-32978.898455994487</v>
      </c>
    </row>
    <row r="6" spans="1:8" ht="15" thickBot="1" x14ac:dyDescent="0.4">
      <c r="A6" s="127"/>
      <c r="B6" s="128" t="s">
        <v>101</v>
      </c>
      <c r="C6" s="129">
        <v>280902.82</v>
      </c>
      <c r="D6" s="129"/>
      <c r="E6" s="129"/>
      <c r="F6" s="129"/>
      <c r="G6" s="129"/>
      <c r="H6" s="126"/>
    </row>
    <row r="7" spans="1:8" ht="15" thickBot="1" x14ac:dyDescent="0.4">
      <c r="A7" s="122"/>
      <c r="B7" s="6"/>
      <c r="C7" s="56"/>
      <c r="D7" s="56"/>
      <c r="E7" s="56"/>
      <c r="F7" s="56"/>
      <c r="G7" s="56"/>
      <c r="H7" s="126"/>
    </row>
    <row r="8" spans="1:8" ht="29.5" thickBot="1" x14ac:dyDescent="0.4">
      <c r="A8" s="118">
        <v>3</v>
      </c>
      <c r="B8" s="119" t="s">
        <v>161</v>
      </c>
      <c r="C8" s="120">
        <v>17410.61</v>
      </c>
      <c r="D8" s="120">
        <v>0</v>
      </c>
      <c r="E8" s="120">
        <v>0</v>
      </c>
      <c r="F8" s="120">
        <v>17410.61</v>
      </c>
      <c r="G8" s="120">
        <v>0</v>
      </c>
      <c r="H8" s="126"/>
    </row>
    <row r="9" spans="1:8" ht="15" thickBot="1" x14ac:dyDescent="0.4">
      <c r="A9" s="122"/>
      <c r="B9" s="6"/>
      <c r="C9" s="56"/>
      <c r="D9" s="56"/>
      <c r="E9" s="56"/>
      <c r="F9" s="56"/>
      <c r="G9" s="56"/>
      <c r="H9" s="56"/>
    </row>
    <row r="10" spans="1:8" x14ac:dyDescent="0.35">
      <c r="A10" s="123">
        <v>4</v>
      </c>
      <c r="B10" s="124" t="s">
        <v>162</v>
      </c>
      <c r="C10" s="125">
        <v>1261052.55</v>
      </c>
      <c r="D10" s="125">
        <v>1009065.63</v>
      </c>
      <c r="E10" s="125" t="s">
        <v>150</v>
      </c>
      <c r="F10" s="125">
        <f>SUM(C10-D10)</f>
        <v>251986.92000000004</v>
      </c>
      <c r="G10" s="125">
        <v>1009065.63</v>
      </c>
      <c r="H10" s="126"/>
    </row>
    <row r="11" spans="1:8" ht="15" thickBot="1" x14ac:dyDescent="0.4">
      <c r="A11" s="127"/>
      <c r="B11" s="128" t="s">
        <v>101</v>
      </c>
      <c r="C11" s="129">
        <v>125673.39</v>
      </c>
      <c r="D11" s="129"/>
      <c r="E11" s="129"/>
      <c r="F11" s="129"/>
      <c r="G11" s="129"/>
      <c r="H11" s="130"/>
    </row>
    <row r="12" spans="1:8" ht="15" thickBot="1" x14ac:dyDescent="0.4">
      <c r="A12" s="165"/>
      <c r="B12" s="15"/>
      <c r="C12" s="135"/>
      <c r="D12" s="135"/>
      <c r="E12" s="135"/>
      <c r="F12" s="135"/>
      <c r="G12" s="135"/>
      <c r="H12" s="166"/>
    </row>
    <row r="13" spans="1:8" ht="15" thickBot="1" x14ac:dyDescent="0.4">
      <c r="A13" s="118">
        <v>5</v>
      </c>
      <c r="B13" s="119" t="s">
        <v>102</v>
      </c>
      <c r="C13" s="120">
        <v>137186.64000000001</v>
      </c>
      <c r="D13" s="120">
        <v>0</v>
      </c>
      <c r="E13" s="120">
        <v>137186.64000000001</v>
      </c>
      <c r="F13" s="120">
        <v>0</v>
      </c>
      <c r="G13" s="120">
        <v>137186.64000000001</v>
      </c>
      <c r="H13" s="121"/>
    </row>
    <row r="14" spans="1:8" ht="14.5" customHeight="1" thickBot="1" x14ac:dyDescent="0.4">
      <c r="A14" s="122"/>
      <c r="B14" s="6"/>
      <c r="C14" s="56"/>
      <c r="D14" s="56"/>
      <c r="E14" s="56"/>
      <c r="F14" s="56"/>
      <c r="G14" s="56"/>
      <c r="H14" s="56"/>
    </row>
    <row r="15" spans="1:8" ht="29" x14ac:dyDescent="0.35">
      <c r="A15" s="172">
        <v>6</v>
      </c>
      <c r="B15" s="173" t="s">
        <v>163</v>
      </c>
      <c r="C15" s="174">
        <v>3668.29</v>
      </c>
      <c r="D15" s="174">
        <v>0</v>
      </c>
      <c r="E15" s="174">
        <v>0</v>
      </c>
      <c r="F15" s="174">
        <v>3668.29</v>
      </c>
      <c r="G15" s="174">
        <v>0</v>
      </c>
      <c r="H15" s="175"/>
    </row>
    <row r="16" spans="1:8" ht="15" thickBot="1" x14ac:dyDescent="0.4">
      <c r="A16" s="163"/>
      <c r="B16" s="15"/>
      <c r="C16" s="135"/>
      <c r="D16" s="135"/>
      <c r="E16" s="135"/>
      <c r="F16" s="135"/>
      <c r="G16" s="135"/>
      <c r="H16" s="135"/>
    </row>
    <row r="17" spans="1:8" s="134" customFormat="1" x14ac:dyDescent="0.35">
      <c r="A17" s="123">
        <v>7</v>
      </c>
      <c r="B17" s="124" t="s">
        <v>164</v>
      </c>
      <c r="C17" s="125">
        <v>54000</v>
      </c>
      <c r="D17" s="125">
        <v>0</v>
      </c>
      <c r="E17" s="125">
        <v>12000</v>
      </c>
      <c r="F17" s="125">
        <f>SUM(C17-G17)</f>
        <v>38000</v>
      </c>
      <c r="G17" s="125">
        <v>16000</v>
      </c>
      <c r="H17" s="126"/>
    </row>
    <row r="18" spans="1:8" s="134" customFormat="1" x14ac:dyDescent="0.35">
      <c r="A18" s="168"/>
      <c r="B18" s="19"/>
      <c r="C18" s="84"/>
      <c r="D18" s="84"/>
      <c r="E18" s="84" t="s">
        <v>168</v>
      </c>
      <c r="F18" s="84"/>
      <c r="G18" s="84"/>
      <c r="H18" s="169"/>
    </row>
    <row r="19" spans="1:8" s="134" customFormat="1" x14ac:dyDescent="0.35">
      <c r="A19" s="168"/>
      <c r="B19" s="19"/>
      <c r="C19" s="84"/>
      <c r="D19" s="84"/>
      <c r="E19" s="84">
        <v>4000</v>
      </c>
      <c r="F19" s="84"/>
      <c r="G19" s="84"/>
      <c r="H19" s="169"/>
    </row>
    <row r="20" spans="1:8" s="134" customFormat="1" ht="15" thickBot="1" x14ac:dyDescent="0.4">
      <c r="A20" s="127"/>
      <c r="B20" s="128"/>
      <c r="C20" s="129"/>
      <c r="D20" s="129"/>
      <c r="E20" s="129" t="s">
        <v>169</v>
      </c>
      <c r="F20" s="129"/>
      <c r="G20" s="129"/>
      <c r="H20" s="130"/>
    </row>
    <row r="21" spans="1:8" x14ac:dyDescent="0.35">
      <c r="A21" s="131"/>
      <c r="B21" s="12"/>
      <c r="C21" s="55"/>
      <c r="D21" s="55"/>
      <c r="E21" s="55"/>
      <c r="F21" s="55"/>
      <c r="G21" s="55"/>
      <c r="H21" s="55"/>
    </row>
    <row r="22" spans="1:8" ht="15" thickBot="1" x14ac:dyDescent="0.4">
      <c r="A22" s="160">
        <v>8</v>
      </c>
      <c r="B22" s="161" t="s">
        <v>165</v>
      </c>
      <c r="C22" s="162">
        <v>100000</v>
      </c>
      <c r="D22" s="162">
        <v>0</v>
      </c>
      <c r="E22" s="162">
        <v>0</v>
      </c>
      <c r="F22" s="162">
        <v>100000</v>
      </c>
      <c r="G22" s="162">
        <v>0</v>
      </c>
      <c r="H22" s="167"/>
    </row>
    <row r="23" spans="1:8" ht="15" thickBot="1" x14ac:dyDescent="0.4">
      <c r="A23" s="122"/>
      <c r="B23" s="6"/>
      <c r="C23" s="56"/>
      <c r="D23" s="56"/>
      <c r="E23" s="56"/>
      <c r="F23" s="56"/>
      <c r="G23" s="56"/>
      <c r="H23" s="56"/>
    </row>
    <row r="24" spans="1:8" ht="15" thickBot="1" x14ac:dyDescent="0.4">
      <c r="A24" s="118">
        <v>9</v>
      </c>
      <c r="B24" s="119" t="s">
        <v>166</v>
      </c>
      <c r="C24" s="120">
        <v>72000</v>
      </c>
      <c r="D24" s="120">
        <v>0</v>
      </c>
      <c r="E24" s="120">
        <v>0</v>
      </c>
      <c r="F24" s="120">
        <v>72000</v>
      </c>
      <c r="G24" s="120">
        <v>0</v>
      </c>
      <c r="H24" s="121"/>
    </row>
    <row r="25" spans="1:8" ht="15" thickBot="1" x14ac:dyDescent="0.4">
      <c r="A25" s="122"/>
      <c r="B25" s="6"/>
      <c r="C25" s="56"/>
      <c r="D25" s="56"/>
      <c r="E25" s="56"/>
      <c r="F25" s="56"/>
      <c r="G25" s="56"/>
      <c r="H25" s="56"/>
    </row>
    <row r="26" spans="1:8" x14ac:dyDescent="0.35">
      <c r="A26" s="123">
        <v>10</v>
      </c>
      <c r="B26" s="124" t="s">
        <v>167</v>
      </c>
      <c r="C26" s="125">
        <v>12000</v>
      </c>
      <c r="D26" s="125">
        <v>0</v>
      </c>
      <c r="E26" s="125">
        <v>12000</v>
      </c>
      <c r="F26" s="125">
        <v>0</v>
      </c>
      <c r="G26" s="125">
        <v>12000</v>
      </c>
      <c r="H26" s="126"/>
    </row>
    <row r="27" spans="1:8" ht="15" thickBot="1" x14ac:dyDescent="0.4">
      <c r="A27" s="127"/>
      <c r="B27" s="128"/>
      <c r="C27" s="129"/>
      <c r="D27" s="129"/>
      <c r="E27" s="129" t="s">
        <v>168</v>
      </c>
      <c r="F27" s="129"/>
      <c r="G27" s="129"/>
      <c r="H27" s="130"/>
    </row>
    <row r="28" spans="1:8" ht="15" thickBot="1" x14ac:dyDescent="0.4">
      <c r="A28" s="160"/>
      <c r="B28" s="161"/>
      <c r="C28" s="162"/>
      <c r="D28" s="162"/>
      <c r="E28" s="162"/>
      <c r="F28" s="162"/>
      <c r="G28" s="162"/>
      <c r="H28" s="167"/>
    </row>
    <row r="29" spans="1:8" ht="15" thickBot="1" x14ac:dyDescent="0.4">
      <c r="A29" s="2"/>
      <c r="B29" s="133" t="s">
        <v>11</v>
      </c>
      <c r="C29" s="170"/>
      <c r="D29" s="170"/>
      <c r="E29" s="170"/>
      <c r="F29" s="170">
        <f>SUM(F3:F27)</f>
        <v>1097726.0000000002</v>
      </c>
      <c r="G29" s="170"/>
      <c r="H29" s="171">
        <v>-58897.25</v>
      </c>
    </row>
    <row r="31" spans="1:8" x14ac:dyDescent="0.35">
      <c r="A31" s="78" t="s">
        <v>170</v>
      </c>
      <c r="B31" s="78"/>
      <c r="C31" s="78"/>
      <c r="D31" s="78"/>
    </row>
    <row r="33" spans="2:2" x14ac:dyDescent="0.35">
      <c r="B33" s="98" t="s">
        <v>41</v>
      </c>
    </row>
  </sheetData>
  <mergeCells count="2">
    <mergeCell ref="A1:H1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ENCUMBERED ASS ACC 1</vt:lpstr>
      <vt:lpstr>ENCUMBERED ASSET ACC 2</vt:lpstr>
      <vt:lpstr>ENCUMBERED ASSET ACCOUNT 3</vt:lpstr>
      <vt:lpstr>FREE RESIDUE ACCOUNT</vt:lpstr>
      <vt:lpstr>SCHEDULE A</vt:lpstr>
      <vt:lpstr>SCHEDULE B</vt:lpstr>
      <vt:lpstr>SCHEDULE C</vt:lpstr>
      <vt:lpstr>SCHEDULE D</vt:lpstr>
      <vt:lpstr>DISTRIBUTION ACCOUNT- LIST A</vt:lpstr>
      <vt:lpstr>BANK RECONCILIATION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 Kock</dc:creator>
  <cp:lastModifiedBy>Alma De Kock</cp:lastModifiedBy>
  <cp:lastPrinted>2023-11-26T10:29:40Z</cp:lastPrinted>
  <dcterms:created xsi:type="dcterms:W3CDTF">2023-11-12T11:27:40Z</dcterms:created>
  <dcterms:modified xsi:type="dcterms:W3CDTF">2023-11-28T15:46:06Z</dcterms:modified>
</cp:coreProperties>
</file>